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5" firstSheet="3" activeTab="6"/>
  </bookViews>
  <sheets>
    <sheet name="dochody 2005 zał.1" sheetId="1" r:id="rId1"/>
    <sheet name="wydatki 2005 zał.2" sheetId="2" r:id="rId2"/>
    <sheet name="dot. otrzym.2005 zał.3" sheetId="3" r:id="rId3"/>
    <sheet name="dot.przek.2005 zał. " sheetId="4" r:id="rId4"/>
    <sheet name="admin.zał 4" sheetId="5" r:id="rId5"/>
    <sheet name="poroz. zał 5" sheetId="6" r:id="rId6"/>
    <sheet name="maj.zał 6" sheetId="7" r:id="rId7"/>
    <sheet name="GFOŚiGW zał 7" sheetId="8" r:id="rId8"/>
    <sheet name="sołec 8" sheetId="9" r:id="rId9"/>
    <sheet name="AA 9" sheetId="10" r:id="rId10"/>
    <sheet name="niedobór 10" sheetId="11" r:id="rId11"/>
    <sheet name="zakł.bud. 11 " sheetId="12" r:id="rId12"/>
    <sheet name="dochody wł. jedn. 12" sheetId="13" r:id="rId13"/>
    <sheet name="WPI 13" sheetId="14" r:id="rId14"/>
    <sheet name="doch.admin 14" sheetId="15" r:id="rId15"/>
  </sheets>
  <definedNames>
    <definedName name="_xlnm.Print_Area" localSheetId="9">'AA 9'!$A:$IV</definedName>
    <definedName name="_xlnm.Print_Titles" localSheetId="9">'AA 9'!$8:$8</definedName>
    <definedName name="_xlnm.Print_Titles" localSheetId="4">'admin.zał 4'!$8:$8</definedName>
    <definedName name="_xlnm.Print_Titles" localSheetId="0">'dochody 2005 zał.1'!$8:$8</definedName>
    <definedName name="_xlnm.Print_Titles" localSheetId="2">'dot. otrzym.2005 zał.3'!$8:$8</definedName>
    <definedName name="_xlnm.Print_Titles" localSheetId="3">'dot.przek.2005 zał. '!$4:$4</definedName>
    <definedName name="_xlnm.Print_Titles" localSheetId="6">'maj.zał 6'!$7:$7</definedName>
    <definedName name="_xlnm.Print_Titles" localSheetId="5">'poroz. zał 5'!$8:$8</definedName>
    <definedName name="_xlnm.Print_Titles" localSheetId="8">'sołec 8'!$7:$7</definedName>
    <definedName name="_xlnm.Print_Titles" localSheetId="1">'wydatki 2005 zał.2'!$8:$8</definedName>
  </definedNames>
  <calcPr fullCalcOnLoad="1"/>
</workbook>
</file>

<file path=xl/comments2.xml><?xml version="1.0" encoding="utf-8"?>
<comments xmlns="http://schemas.openxmlformats.org/spreadsheetml/2006/main">
  <authors>
    <author>fk3</author>
  </authors>
  <commentList>
    <comment ref="E5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1400</t>
        </r>
      </text>
    </comment>
    <comment ref="E6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8630</t>
        </r>
      </text>
    </comment>
    <comment ref="E7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1600</t>
        </r>
      </text>
    </comment>
    <comment ref="E7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21150</t>
        </r>
      </text>
    </comment>
    <comment ref="E7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3700</t>
        </r>
      </text>
    </comment>
    <comment ref="E8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5000</t>
        </r>
      </text>
    </comment>
    <comment ref="E19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składka do Hospicjum</t>
        </r>
      </text>
    </comment>
    <comment ref="E210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MGOPiS 38000, Swiadczenia 36700</t>
        </r>
      </text>
    </comment>
    <comment ref="E21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500000własne, 3000 AA</t>
        </r>
      </text>
    </comment>
    <comment ref="E27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4700</t>
        </r>
      </text>
    </comment>
    <comment ref="E28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1000</t>
        </r>
      </text>
    </comment>
    <comment ref="E14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4000</t>
        </r>
      </text>
    </comment>
    <comment ref="E17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</t>
        </r>
      </text>
    </comment>
    <comment ref="E15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1500</t>
        </r>
      </text>
    </comment>
    <comment ref="E300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AA 10000</t>
        </r>
      </text>
    </comment>
    <comment ref="E1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22030</t>
        </r>
      </text>
    </comment>
    <comment ref="E1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43480</t>
        </r>
      </text>
    </comment>
    <comment ref="E1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69000</t>
        </r>
      </text>
    </comment>
    <comment ref="E2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300</t>
        </r>
      </text>
    </comment>
    <comment ref="E29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starostwo 45000</t>
        </r>
      </text>
    </comment>
  </commentList>
</comments>
</file>

<file path=xl/sharedStrings.xml><?xml version="1.0" encoding="utf-8"?>
<sst xmlns="http://schemas.openxmlformats.org/spreadsheetml/2006/main" count="1358" uniqueCount="464">
  <si>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</si>
  <si>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</si>
  <si>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</si>
  <si>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</si>
  <si>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</si>
  <si>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</si>
  <si>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</si>
  <si>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</si>
  <si>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</si>
  <si>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</si>
  <si>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</si>
  <si>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</si>
  <si>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</si>
  <si>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</si>
  <si>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</si>
  <si>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</si>
  <si>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</si>
  <si>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</si>
  <si>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</si>
  <si>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</si>
  <si>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</si>
  <si>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</si>
  <si>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</si>
  <si>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</si>
  <si>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</si>
  <si>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</si>
  <si>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</si>
  <si>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</si>
  <si>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</si>
  <si>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</si>
  <si>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</si>
  <si>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</si>
  <si>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</si>
  <si>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</si>
  <si>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</si>
  <si>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</si>
  <si>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</si>
  <si>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</si>
  <si>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</si>
  <si>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</si>
  <si>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</si>
  <si>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</si>
  <si>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</si>
  <si>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</si>
  <si>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</si>
  <si>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</si>
  <si>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</si>
  <si>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</si>
  <si>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</si>
  <si>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</si>
  <si>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</si>
  <si>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</si>
  <si>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</si>
  <si>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</si>
  <si>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</si>
  <si>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</si>
  <si>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</si>
  <si>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</si>
  <si>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</si>
  <si>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</si>
  <si>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</si>
  <si>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</si>
  <si>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</si>
  <si>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</si>
  <si>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</si>
  <si>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</si>
  <si>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</si>
  <si>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</si>
  <si>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</si>
  <si>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</si>
  <si>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</si>
  <si>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</si>
  <si>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</si>
  <si>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</si>
  <si>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</si>
  <si>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</si>
  <si>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</si>
  <si>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</si>
  <si>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</si>
  <si>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</si>
  <si>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</si>
  <si>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</si>
  <si>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</si>
  <si>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</si>
  <si>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</si>
  <si>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</si>
  <si>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</si>
  <si>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</si>
  <si>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</si>
  <si>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</si>
  <si>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</si>
  <si>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</si>
  <si>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</si>
  <si>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</si>
  <si>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</si>
  <si>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</si>
  <si>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</si>
  <si>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</si>
  <si>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</si>
  <si>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</si>
  <si>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</si>
  <si>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</si>
  <si>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</si>
  <si>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</si>
  <si>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</si>
  <si>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</si>
  <si>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</si>
  <si>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</si>
  <si>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</si>
  <si>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</si>
  <si>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</si>
  <si>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</si>
  <si>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</si>
  <si>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</si>
  <si>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</si>
  <si>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</si>
  <si>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</si>
  <si>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</si>
  <si>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</si>
  <si>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</si>
  <si>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</si>
  <si>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</si>
  <si>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</si>
  <si>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</si>
  <si>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</si>
  <si>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</si>
  <si>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</si>
  <si>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</si>
  <si>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</si>
  <si>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</si>
  <si>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</si>
  <si>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</si>
  <si>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</si>
  <si>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</si>
  <si>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</si>
  <si>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</si>
  <si>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</si>
  <si>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</si>
  <si>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</si>
  <si>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</si>
  <si>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</si>
  <si>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</si>
  <si>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</si>
  <si>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</si>
  <si>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</si>
  <si>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</si>
  <si>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</si>
  <si>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</si>
  <si>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</si>
  <si>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</si>
  <si>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</si>
  <si>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</si>
  <si>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</si>
  <si>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</si>
  <si>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</si>
  <si>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</si>
  <si>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</si>
  <si>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</si>
  <si>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</si>
  <si>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</si>
  <si>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</si>
  <si>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</si>
  <si>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</si>
  <si>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</si>
  <si>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</si>
  <si>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</si>
  <si>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Bezpieczeństwo publiczne i ochrona przeciwpożarowa </t>
  </si>
  <si>
    <t>Kultura i ochrona dziedzictwa narodowego - porozumienie</t>
  </si>
  <si>
    <t xml:space="preserve">plan </t>
  </si>
  <si>
    <t>przychody</t>
  </si>
  <si>
    <t>rozchody</t>
  </si>
  <si>
    <t>saldo</t>
  </si>
  <si>
    <t>spłaty otrzymanych krajowych pożyczek i kredytów</t>
  </si>
  <si>
    <t>Gminne Przedszkola Publiczne</t>
  </si>
  <si>
    <t>Starostwo Powiatowe - utrzymanie hali sportowo-widowiskowej przy L.O. w Trzciance</t>
  </si>
  <si>
    <t>Trzcianecki Dom Kultury</t>
  </si>
  <si>
    <t>Biblioteka Publiczna Miasta i Gminy im. Kazimiery Iłłakowiczówny</t>
  </si>
  <si>
    <t>Muzeum Ziemi Nadnoteckiej im. Wiktora Stachowiaka</t>
  </si>
  <si>
    <t xml:space="preserve">Bezpieczeństwo publiczne                                                i ochrona przeciwpożarowa </t>
  </si>
  <si>
    <t>wykup gruntów</t>
  </si>
  <si>
    <t>zakup sprzętu komputerowego i oprogramowania</t>
  </si>
  <si>
    <t>Fundusz Ochrony Środowiska i Gospodarki Wodnej</t>
  </si>
  <si>
    <t>fundusz obrotowy na początek roku</t>
  </si>
  <si>
    <t>wpływy z różnych opłat</t>
  </si>
  <si>
    <t>zakup worków na nieczystości</t>
  </si>
  <si>
    <t>wywóz pojemników na szkło i plastiki</t>
  </si>
  <si>
    <t>popularyzacja wiedzy o środowisku</t>
  </si>
  <si>
    <t>wywóz kontenerów na wsiach</t>
  </si>
  <si>
    <t>lp.</t>
  </si>
  <si>
    <t>Załącznik Nr 4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</si>
  <si>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</si>
  <si>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</si>
  <si>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</si>
  <si>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</si>
  <si>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dochody budżetu państwa związane z realizacją zadań zlecanych jednostkom samorządu terytorialnego</t>
  </si>
  <si>
    <t>Załącznik Nr 13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</si>
  <si>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</si>
  <si>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</si>
  <si>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</si>
  <si>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</si>
  <si>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</si>
  <si>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</si>
  <si>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</si>
  <si>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</si>
  <si>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</si>
  <si>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</si>
  <si>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</si>
  <si>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</si>
  <si>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</si>
  <si>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Straduń</t>
  </si>
  <si>
    <t>Sołectwo Wapniarnia I</t>
  </si>
  <si>
    <t>Sołectwo Wapniarnia III</t>
  </si>
  <si>
    <t>Sołectwo Biała</t>
  </si>
  <si>
    <t>Sołectwo Biernatowo</t>
  </si>
  <si>
    <t>Sołectwo Łomnica</t>
  </si>
  <si>
    <t>Sołectwo Niekursko</t>
  </si>
  <si>
    <t>Sołectwo Nowa Wieś</t>
  </si>
  <si>
    <t>Sołectwo Radolin</t>
  </si>
  <si>
    <t>Sołectwo Smolarnia</t>
  </si>
  <si>
    <t>Sołectwo Teresin</t>
  </si>
  <si>
    <t>Sołectwo Stobno</t>
  </si>
  <si>
    <t>4210</t>
  </si>
  <si>
    <t>Sołectwo Górnica</t>
  </si>
  <si>
    <t>Sołectwo Wrząca</t>
  </si>
  <si>
    <t>4300</t>
  </si>
  <si>
    <t>zakup materiałów i wypozażenia</t>
  </si>
  <si>
    <t>4260</t>
  </si>
  <si>
    <t>do Uchwały Nr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</si>
  <si>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</si>
  <si>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</si>
  <si>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</si>
  <si>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</si>
  <si>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</si>
  <si>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</si>
  <si>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</si>
  <si>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pomoc materialna dla uczniów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</si>
  <si>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</si>
  <si>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</si>
  <si>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</si>
  <si>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</si>
  <si>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</si>
  <si>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</si>
  <si>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</si>
  <si>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</si>
  <si>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</si>
  <si>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</si>
  <si>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</si>
  <si>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</si>
  <si>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</si>
  <si>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</si>
  <si>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</si>
  <si>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</si>
  <si>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</si>
  <si>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</si>
  <si>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</si>
  <si>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</si>
  <si>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</si>
  <si>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</si>
  <si>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</si>
  <si>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</si>
  <si>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</si>
  <si>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kolonie i obozy oraz inne formy wypoczynku dzieci i młodzieży, a także szkolenia młodzieży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</si>
  <si>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</si>
  <si>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</si>
  <si>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</si>
  <si>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</si>
  <si>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</si>
  <si>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fundusz obrotowy na koniec roku</t>
  </si>
  <si>
    <t>koszty postępowania sądowego i prokuratorskiego</t>
  </si>
  <si>
    <t>0690</t>
  </si>
  <si>
    <t xml:space="preserve">Oświetlenie w Łomnicy </t>
  </si>
  <si>
    <t xml:space="preserve">dotacja podmiotowa z budżetu dla niepublicznej jednostki systemu oświaty </t>
  </si>
  <si>
    <t>dotacja podmiotowa dla niepublicznej jednostki systemu oświaty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</si>
  <si>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</si>
  <si>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</si>
  <si>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</si>
  <si>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</si>
  <si>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</si>
  <si>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>świadczenia rodzinne oraz skłądki na ubezpieczenia emerytalne i rentowe z ubezpieczenia społecznego</t>
  </si>
  <si>
    <t xml:space="preserve">Pomoc społeczna </t>
  </si>
  <si>
    <t>Pomoc społeczna</t>
  </si>
  <si>
    <t xml:space="preserve">Przychody Gminnego Funduszu Ochrony Środowiska i Gospodarki Wodnej </t>
  </si>
  <si>
    <t xml:space="preserve">Wydatki Gminnego Funduszu Ochrony Środowiska  i Gospodarki Wodnej </t>
  </si>
  <si>
    <t>Załącznik Nr 1</t>
  </si>
  <si>
    <t>z dnia</t>
  </si>
  <si>
    <t>Załącznik Nr 2</t>
  </si>
  <si>
    <t>Załącznik Nr 3</t>
  </si>
  <si>
    <t>Załącznik Nr 6</t>
  </si>
  <si>
    <t>Załącznik Nr 9</t>
  </si>
  <si>
    <t>wpływy ze sprzedaży składników majątkowych</t>
  </si>
  <si>
    <t>dotacja podmiotowa z budżetu dla samorządowej instytucji kultury</t>
  </si>
  <si>
    <t>biblioteki - porozumienia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</si>
  <si>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</si>
  <si>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</si>
  <si>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</si>
  <si>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</si>
  <si>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</si>
  <si>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</si>
  <si>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 xml:space="preserve"> DOTACJE NA WYDATKI BIEŻĄCE</t>
  </si>
  <si>
    <t>wynagrodzenia bezosobowe</t>
  </si>
  <si>
    <t>utrzymanie terenów zielonych nad jeziorem Sarcz, Logo, Park Grottgera</t>
  </si>
  <si>
    <t>zakup elementów do monitorowania miasta</t>
  </si>
  <si>
    <t>Przedszkole przy Prywatnej Katolickiej Szkole Podstawowej 
im. Św. Siostry Faustyny</t>
  </si>
  <si>
    <t>0830</t>
  </si>
  <si>
    <t>wpływy z usług</t>
  </si>
  <si>
    <t>wynagrodzenie bezosobowe</t>
  </si>
  <si>
    <t>budowa kanalizacji sanitarnej i deszczowej oraz rozbudowa oczyszczalni ścieków w Gminie Trzcianka</t>
  </si>
  <si>
    <t>0870</t>
  </si>
  <si>
    <t>nasadzenia drzew i krzewów</t>
  </si>
  <si>
    <t>zwiększenia</t>
  </si>
  <si>
    <t>zmniejszenia</t>
  </si>
  <si>
    <t>instytucje kultury fizycznej</t>
  </si>
  <si>
    <t>wynagordzenia bezosobowe</t>
  </si>
  <si>
    <t xml:space="preserve">zmniejszenia </t>
  </si>
  <si>
    <t>zmiany</t>
  </si>
  <si>
    <t>wykup innych papierów wartościowych</t>
  </si>
  <si>
    <t>zakup usług zdrowotnych</t>
  </si>
  <si>
    <t xml:space="preserve">zwiększenia </t>
  </si>
  <si>
    <t>budowa budynku mieszkalnego przy 
ul. Chopina w Trzciance</t>
  </si>
  <si>
    <t>plan po
zmianach</t>
  </si>
  <si>
    <t>plan po 
zmianach</t>
  </si>
  <si>
    <t>budowa chodnika w Siedlisku</t>
  </si>
  <si>
    <t xml:space="preserve"> Katolicka Szkoła Podstawowa im. Św. Siosty Faustyny</t>
  </si>
  <si>
    <t>kary i odszkodowania wypłacane na rzecz osób fizycznych</t>
  </si>
  <si>
    <t>różne jednostki obsługi gospodarki mieszkaniowej</t>
  </si>
  <si>
    <t>świadczenia rodzinne oraz składki na ubezpieczenia emerytalne i rentowe z ubezpieczenia społecznego</t>
  </si>
  <si>
    <t>plan po zmianach</t>
  </si>
  <si>
    <t>Załącznik Nr 10 do uchwały nr XXXIII/233/05</t>
  </si>
  <si>
    <t>Rady Miejskiej trzcianki z dnia 10.02.2005 r.</t>
  </si>
  <si>
    <t>dotacje celowe otrzymane 
z powiatu na zadania bieżące realizowane na podstawie porozumień  między jednostkami samorządu terytorialnego</t>
  </si>
  <si>
    <t>dotacje celowe otrzymane 
z budżetu państwa na realizację zadań bieżących z zakresu administracji rządowej oraz innych zadań zleconych gminie (związkom gmin) ustawami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</si>
  <si>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</si>
  <si>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</si>
  <si>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</si>
  <si>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muzea - porozumienia</t>
  </si>
  <si>
    <t>domy i ośrodki kultury, świetlice i kluby - porozumienia</t>
  </si>
  <si>
    <t xml:space="preserve">pozostała działalność </t>
  </si>
  <si>
    <t>domy i ośrodki kultury, świetlice
i kluby</t>
  </si>
  <si>
    <t>Rady Miejskiej Trzcianki z dnia 28.04.2005 r. zmieniający</t>
  </si>
  <si>
    <t>Załącznik Nr 6 do Uchwały Nr XXXVII/255/05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</si>
  <si>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</si>
  <si>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</si>
  <si>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</si>
  <si>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</si>
  <si>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</si>
  <si>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</si>
  <si>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</si>
  <si>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</si>
  <si>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</si>
  <si>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</si>
  <si>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>Wybory Prezydenta RP</t>
  </si>
  <si>
    <t xml:space="preserve">                   </t>
  </si>
  <si>
    <t>0400</t>
  </si>
  <si>
    <t>wpływy z opłaty produktowej</t>
  </si>
  <si>
    <t>wydatki osobowe niezaliczone do wynagrodzeń</t>
  </si>
  <si>
    <t>wpływy i wydatki związane z gromadzeniem środków z opłat produktowych</t>
  </si>
  <si>
    <t>dotacje celowe otrzymane 
z powiatu na zadania bieżące realizowane na podstawie porozumień między jednostkami samorządu terytorialnego</t>
  </si>
  <si>
    <t>Dochody 2006 - plan</t>
  </si>
  <si>
    <t>wpływy z opłat za zarząd, użytkowanie i użytkowanie wieczyste nieruchomości</t>
  </si>
  <si>
    <t xml:space="preserve">do Uchwały Nr </t>
  </si>
  <si>
    <t xml:space="preserve">z dnia </t>
  </si>
  <si>
    <t xml:space="preserve">Dotacje 2006 - otrzymywane do budżetu                                     </t>
  </si>
  <si>
    <t xml:space="preserve">Dotacje 2006 - przekazywane z budżetu              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</si>
  <si>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</si>
  <si>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</si>
  <si>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</si>
  <si>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</si>
  <si>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</si>
  <si>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Dochody 2006 związane z realizacją zadań z zakresu administracji rządowej i innych zadań zleconych ustawami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</si>
  <si>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</si>
  <si>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</si>
  <si>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</si>
  <si>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</si>
  <si>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</si>
  <si>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Starostwo Powiatowe- utrzymanie pracownika ZNP</t>
  </si>
  <si>
    <t>Załącznik Nr 5</t>
  </si>
  <si>
    <t>Załącznik Nr 8</t>
  </si>
  <si>
    <t>budowa chodnika w Stobnie</t>
  </si>
  <si>
    <t xml:space="preserve">Wydatki majątkowe 2006 </t>
  </si>
  <si>
    <t>przebudowa oświetlenia w mieście</t>
  </si>
  <si>
    <t>budowa ulicy Fabrycznej</t>
  </si>
  <si>
    <t>budowa ulicy Rzemieślniczej</t>
  </si>
  <si>
    <t>budowa chodnika na ul.Orzeszkowej</t>
  </si>
  <si>
    <t>budowa oświetlenia przy ulicy Wieleńskiej (uzbrojenie terenów ul.Wieleńska)</t>
  </si>
  <si>
    <t>jednostka organizacyjna</t>
  </si>
  <si>
    <t>okres realizacji</t>
  </si>
  <si>
    <t>koszty ogółem</t>
  </si>
  <si>
    <t xml:space="preserve">Budowa kanalizacji sanitarnej i deszczowej oraz rozbudowa oczyszczalni ścieków w Gminie Trzcianka </t>
  </si>
  <si>
    <t>Urząd Miejski Trzcianki</t>
  </si>
  <si>
    <t>2005-2006</t>
  </si>
  <si>
    <t>cel:</t>
  </si>
  <si>
    <t>Rozbudowa infrastruktury technicznej na terenie gminy, modernizacja i rozbudowa miejskiej oczyszczalni ścieków, uzbrojenie terenów budownictwa jednorodzinnego.</t>
  </si>
  <si>
    <t>2.</t>
  </si>
  <si>
    <t>Modernizacja dróg gminnych</t>
  </si>
  <si>
    <t>2004-2011</t>
  </si>
  <si>
    <t>Poprawa stanu nawierzchni dróg gminnych</t>
  </si>
  <si>
    <t>3.</t>
  </si>
  <si>
    <t>Uzbrojenie techniczne terenów budownictwa mieszkaniowego w rejonie ul. Wieleńskiej</t>
  </si>
  <si>
    <t>2006-2008</t>
  </si>
  <si>
    <t xml:space="preserve">Poprawa stanu nawierzchni dróg i bezpieczeństwa mieszkańców </t>
  </si>
  <si>
    <t>4.</t>
  </si>
  <si>
    <t>Uzbrojenie techniczne terenów budownictwa mieszkaniowego w rejonie jeziora Okunie lub Sarcz</t>
  </si>
  <si>
    <t>2005-2009</t>
  </si>
  <si>
    <t>5.</t>
  </si>
  <si>
    <t>Budowa pływalni (kryty basen)</t>
  </si>
  <si>
    <t>2007-2008</t>
  </si>
  <si>
    <t>Budowa bazy rekreacyjno-edukacyjno-sportowej</t>
  </si>
  <si>
    <t>6.</t>
  </si>
  <si>
    <t>Budowa sali sportowej we wsi Siedlisko</t>
  </si>
  <si>
    <t>7.</t>
  </si>
  <si>
    <t>Budowa remizy 
w Niekursku</t>
  </si>
  <si>
    <t>2005-2007</t>
  </si>
  <si>
    <t>Poprawa bezpieczeństwa i ochrona przeciwpożarowa</t>
  </si>
  <si>
    <t xml:space="preserve">Wydatki 2006 na finansowanie wieloletnich programów inwestycyjnych </t>
  </si>
  <si>
    <t>Plan przychodów i rozchodów 2006</t>
  </si>
  <si>
    <t>zakup taśmy dla ochrony kasztanowców</t>
  </si>
  <si>
    <t>koszty prowadzenia rachunku</t>
  </si>
  <si>
    <t>Załącznik Nr 7</t>
  </si>
  <si>
    <t>Załącznik Nr 10</t>
  </si>
  <si>
    <t>promocja jednostek samorzadu terytorialnego</t>
  </si>
  <si>
    <t>sołectwo Górnica</t>
  </si>
  <si>
    <t>sołectwo Niowa Wieś</t>
  </si>
  <si>
    <t>sołectwo Siedlisko</t>
  </si>
  <si>
    <t>Sołectwo Solarnia</t>
  </si>
  <si>
    <t>sołectwo Rychlik</t>
  </si>
  <si>
    <t>Wydatki jednostek pomocniczych Gminy 2006</t>
  </si>
  <si>
    <t>Załącznik Nr 14</t>
  </si>
  <si>
    <t xml:space="preserve">      Ochrona zdrowia</t>
  </si>
  <si>
    <t>zasiłki i pomoc w naturze oraz składki na ubezpieczenia emerytalne i rentowe</t>
  </si>
  <si>
    <t>a)</t>
  </si>
  <si>
    <t>b)</t>
  </si>
  <si>
    <t>a) środki własne                b) środki z innych źródeł</t>
  </si>
  <si>
    <t xml:space="preserve">                </t>
  </si>
  <si>
    <t xml:space="preserve">Wydatki 2006 związane z realizacją zadań wspólnych realizowanych w drodze umów lub porozumień między jednostkami samorządu terytorialnego </t>
  </si>
  <si>
    <t>Wydatki 2006 związane z realizacją zadań z zakresu administracji rządowej i innych zadań zleconych ustawami</t>
  </si>
  <si>
    <t>Wydatki 2006 - plan</t>
  </si>
  <si>
    <t>Przychody i wydatki Gminnego Funduszu Ochrony Środowiska i Gospodarki Wodnej 2006</t>
  </si>
  <si>
    <t>Dochody i wydatki 2006 z tytułu opłat za wydawanie zezwoleń na sprzedaż napojów alkoholowych oraz wydatki na realizację zadań określonych w programie profilaktyki i rozwiązywania problemów alkoholowych</t>
  </si>
  <si>
    <t>Dochody z tytułu opłat za wydawanie zezwoleń na sprzedaż napojów alkoholowych</t>
  </si>
  <si>
    <t>Wydatki na realizację zadań określonych w programie profilaktyki i rozwiązywania problemów alkoholowych</t>
  </si>
  <si>
    <t>Załącznik Nr 11</t>
  </si>
  <si>
    <t>środki obrotowe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</si>
  <si>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</si>
  <si>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</si>
  <si>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</si>
  <si>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</si>
  <si>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</si>
  <si>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</si>
  <si>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</si>
  <si>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</si>
  <si>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>przedszkola</t>
  </si>
  <si>
    <t>zmiana</t>
  </si>
  <si>
    <t xml:space="preserve">przedszkola - plan </t>
  </si>
  <si>
    <t>przedszkola - plan po zmianach</t>
  </si>
  <si>
    <t>dokształcanie i doskanalenie nauczycieli</t>
  </si>
  <si>
    <t>Załącznik Nr 12</t>
  </si>
  <si>
    <t>środki pieniężne</t>
  </si>
  <si>
    <t>dochody</t>
  </si>
  <si>
    <t>wydatki</t>
  </si>
  <si>
    <t>plan po zm.</t>
  </si>
  <si>
    <t>modernizacja nawierzchni na ul.Dąbrowskiego, Wieleńskiej i Wiosny Ludów</t>
  </si>
  <si>
    <t>budowa wodociągu w Osińcu</t>
  </si>
  <si>
    <t>Plan przychodów i rozchodów zakładów budżetowych na 2006</t>
  </si>
  <si>
    <t xml:space="preserve">Plan dochodów własnych jednostek budżetowych i wydatków nimi sfinansowanych 2006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</si>
</sst>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4" fontId="4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0" fillId="0" borderId="3" xfId="0" applyFont="1" applyFill="1" applyBorder="1" applyAlignment="1" quotePrefix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quotePrefix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0" fontId="2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4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0" fontId="2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0" fillId="0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164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7" fillId="0" borderId="3" xfId="0" applyFont="1" applyFill="1" applyBorder="1" applyAlignment="1" quotePrefix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2" fillId="0" borderId="1" xfId="0" applyFont="1" applyFill="1" applyBorder="1" applyAlignment="1" quotePrefix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9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8" fillId="0" borderId="2" xfId="0" applyNumberFormat="1" applyFont="1" applyFill="1" applyBorder="1" applyAlignment="1" quotePrefix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4" fontId="3" fillId="0" borderId="2" xfId="0" applyNumberFormat="1" applyFont="1" applyFill="1" applyBorder="1" applyAlignment="1" quotePrefix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2"/>
    </xf>
    <xf numFmtId="4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4" fontId="0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" xfId="0" applyFont="1" applyFill="1" applyBorder="1" applyAlignment="1">
      <alignment horizontal="left" wrapText="1" indent="1"/>
    </xf>
    <xf numFmtId="0" fontId="3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 inden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4" fontId="7" fillId="0" borderId="27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/>
    </xf>
    <xf numFmtId="0" fontId="7" fillId="3" borderId="12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34" xfId="0" applyFont="1" applyFill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4" fontId="10" fillId="0" borderId="2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4" fontId="8" fillId="0" borderId="26" xfId="0" applyNumberFormat="1" applyFont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D12" sqref="D12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25390625" style="9" customWidth="1"/>
    <col min="4" max="4" width="37.75390625" style="9" customWidth="1"/>
    <col min="5" max="5" width="24.00390625" style="55" customWidth="1"/>
    <col min="6" max="7" width="11.75390625" style="0" hidden="1" customWidth="1"/>
    <col min="8" max="8" width="13.75390625" style="0" hidden="1" customWidth="1"/>
  </cols>
  <sheetData>
    <row r="1" spans="1:8" ht="12.75">
      <c r="A1" s="106"/>
      <c r="B1" s="106"/>
      <c r="C1" s="106"/>
      <c r="D1" s="106"/>
      <c r="E1" s="107" t="s">
        <v>283</v>
      </c>
      <c r="H1" s="107"/>
    </row>
    <row r="2" spans="1:8" ht="12.75">
      <c r="A2" s="106"/>
      <c r="B2" s="106"/>
      <c r="C2" s="106"/>
      <c r="D2" s="106"/>
      <c r="E2" s="107" t="s">
        <v>227</v>
      </c>
      <c r="H2" s="107"/>
    </row>
    <row r="3" spans="1:8" ht="12.75">
      <c r="A3" s="106"/>
      <c r="B3" s="106"/>
      <c r="C3" s="106"/>
      <c r="D3" s="106"/>
      <c r="E3" s="107" t="s">
        <v>192</v>
      </c>
      <c r="H3" s="107"/>
    </row>
    <row r="4" spans="1:8" ht="12.75">
      <c r="A4" s="106"/>
      <c r="B4" s="106"/>
      <c r="C4" s="106"/>
      <c r="D4" s="106"/>
      <c r="E4" s="107" t="s">
        <v>284</v>
      </c>
      <c r="H4" s="107"/>
    </row>
    <row r="5" spans="1:5" ht="12.75">
      <c r="A5" s="106"/>
      <c r="B5" s="106"/>
      <c r="C5" s="106"/>
      <c r="D5" s="106" t="s">
        <v>348</v>
      </c>
      <c r="E5" s="107"/>
    </row>
    <row r="6" spans="1:5" ht="18.75" customHeight="1">
      <c r="A6" s="390" t="s">
        <v>357</v>
      </c>
      <c r="B6" s="390"/>
      <c r="C6" s="390"/>
      <c r="D6" s="390"/>
      <c r="E6" s="108"/>
    </row>
    <row r="7" spans="1:5" ht="8.25" customHeight="1">
      <c r="A7" s="14"/>
      <c r="B7" s="14"/>
      <c r="C7" s="14"/>
      <c r="D7" s="109"/>
      <c r="E7" s="108"/>
    </row>
    <row r="8" spans="1:8" s="9" customFormat="1" ht="24.75" customHeight="1">
      <c r="A8" s="7" t="s">
        <v>0</v>
      </c>
      <c r="B8" s="6" t="s">
        <v>1</v>
      </c>
      <c r="C8" s="38" t="s">
        <v>2</v>
      </c>
      <c r="D8" s="7" t="s">
        <v>3</v>
      </c>
      <c r="E8" s="12" t="s">
        <v>165</v>
      </c>
      <c r="F8" s="6" t="s">
        <v>309</v>
      </c>
      <c r="G8" s="6" t="s">
        <v>310</v>
      </c>
      <c r="H8" s="203" t="s">
        <v>168</v>
      </c>
    </row>
    <row r="9" spans="1:8" s="9" customFormat="1" ht="24.75" customHeight="1">
      <c r="A9" s="57" t="s">
        <v>8</v>
      </c>
      <c r="B9" s="3"/>
      <c r="C9" s="31"/>
      <c r="D9" s="58" t="s">
        <v>9</v>
      </c>
      <c r="E9" s="110">
        <f>SUM(E10)</f>
        <v>3100</v>
      </c>
      <c r="F9" s="29">
        <f aca="true" t="shared" si="0" ref="F9:H10">SUM(F10)</f>
        <v>0</v>
      </c>
      <c r="G9" s="29">
        <f t="shared" si="0"/>
        <v>0</v>
      </c>
      <c r="H9" s="29">
        <f t="shared" si="0"/>
        <v>3100</v>
      </c>
    </row>
    <row r="10" spans="1:8" s="43" customFormat="1" ht="21" customHeight="1">
      <c r="A10" s="130"/>
      <c r="B10" s="126" t="s">
        <v>10</v>
      </c>
      <c r="C10" s="135"/>
      <c r="D10" s="132" t="s">
        <v>6</v>
      </c>
      <c r="E10" s="124">
        <f>SUM(E11)</f>
        <v>3100</v>
      </c>
      <c r="F10" s="141">
        <f t="shared" si="0"/>
        <v>0</v>
      </c>
      <c r="G10" s="141">
        <f t="shared" si="0"/>
        <v>0</v>
      </c>
      <c r="H10" s="141">
        <f t="shared" si="0"/>
        <v>3100</v>
      </c>
    </row>
    <row r="11" spans="1:8" s="43" customFormat="1" ht="34.5" customHeight="1">
      <c r="A11" s="130"/>
      <c r="B11" s="131"/>
      <c r="C11" s="127" t="s">
        <v>236</v>
      </c>
      <c r="D11" s="132" t="s">
        <v>7</v>
      </c>
      <c r="E11" s="124">
        <v>3100</v>
      </c>
      <c r="F11" s="195"/>
      <c r="G11" s="195"/>
      <c r="H11" s="148">
        <f>SUM(E11+F11-G11)</f>
        <v>3100</v>
      </c>
    </row>
    <row r="12" spans="1:8" s="72" customFormat="1" ht="24.75" customHeight="1">
      <c r="A12" s="181">
        <v>600</v>
      </c>
      <c r="B12" s="64"/>
      <c r="C12" s="65"/>
      <c r="D12" s="66" t="s">
        <v>89</v>
      </c>
      <c r="E12" s="110">
        <f aca="true" t="shared" si="1" ref="E12:H13">SUM(E13)</f>
        <v>20000</v>
      </c>
      <c r="F12" s="29">
        <f t="shared" si="1"/>
        <v>0</v>
      </c>
      <c r="G12" s="29">
        <f t="shared" si="1"/>
        <v>0</v>
      </c>
      <c r="H12" s="29">
        <f t="shared" si="1"/>
        <v>20000</v>
      </c>
    </row>
    <row r="13" spans="1:8" s="43" customFormat="1" ht="22.5" customHeight="1">
      <c r="A13" s="130"/>
      <c r="B13" s="138" t="s">
        <v>90</v>
      </c>
      <c r="C13" s="142"/>
      <c r="D13" s="68" t="s">
        <v>91</v>
      </c>
      <c r="E13" s="124">
        <f t="shared" si="1"/>
        <v>20000</v>
      </c>
      <c r="F13" s="141">
        <f t="shared" si="1"/>
        <v>0</v>
      </c>
      <c r="G13" s="141">
        <f t="shared" si="1"/>
        <v>0</v>
      </c>
      <c r="H13" s="141">
        <f t="shared" si="1"/>
        <v>20000</v>
      </c>
    </row>
    <row r="14" spans="1:8" s="43" customFormat="1" ht="21.75" customHeight="1">
      <c r="A14" s="130"/>
      <c r="B14" s="131"/>
      <c r="C14" s="127" t="s">
        <v>269</v>
      </c>
      <c r="D14" s="132" t="s">
        <v>183</v>
      </c>
      <c r="E14" s="124">
        <v>20000</v>
      </c>
      <c r="F14" s="195"/>
      <c r="G14" s="195"/>
      <c r="H14" s="148">
        <f>SUM(E14+F14-G14)</f>
        <v>20000</v>
      </c>
    </row>
    <row r="15" spans="1:8" s="8" customFormat="1" ht="24.75" customHeight="1">
      <c r="A15" s="57" t="s">
        <v>11</v>
      </c>
      <c r="B15" s="4"/>
      <c r="C15" s="5"/>
      <c r="D15" s="58" t="s">
        <v>12</v>
      </c>
      <c r="E15" s="110">
        <f>SUM(E16,)</f>
        <v>1410700</v>
      </c>
      <c r="F15" s="29">
        <f>SUM(F16,)</f>
        <v>0</v>
      </c>
      <c r="G15" s="29">
        <f>SUM(G16,)</f>
        <v>0</v>
      </c>
      <c r="H15" s="29">
        <f>SUM(H16,)</f>
        <v>1410700</v>
      </c>
    </row>
    <row r="16" spans="1:8" s="43" customFormat="1" ht="21.75" customHeight="1">
      <c r="A16" s="125"/>
      <c r="B16" s="126" t="s">
        <v>13</v>
      </c>
      <c r="C16" s="135"/>
      <c r="D16" s="132" t="s">
        <v>197</v>
      </c>
      <c r="E16" s="124">
        <f>SUM(E17:E20)</f>
        <v>1410700</v>
      </c>
      <c r="F16" s="141">
        <f>SUM(F17:F20)</f>
        <v>0</v>
      </c>
      <c r="G16" s="141">
        <f>SUM(G17:G20)</f>
        <v>0</v>
      </c>
      <c r="H16" s="141">
        <f>SUM(H17:H20)</f>
        <v>1410700</v>
      </c>
    </row>
    <row r="17" spans="1:8" s="43" customFormat="1" ht="27" customHeight="1">
      <c r="A17" s="125"/>
      <c r="B17" s="89"/>
      <c r="C17" s="134" t="s">
        <v>237</v>
      </c>
      <c r="D17" s="132" t="s">
        <v>358</v>
      </c>
      <c r="E17" s="124">
        <v>160000</v>
      </c>
      <c r="F17" s="195"/>
      <c r="G17" s="195"/>
      <c r="H17" s="148">
        <f>SUM(E17+F17-G17)</f>
        <v>160000</v>
      </c>
    </row>
    <row r="18" spans="1:8" s="43" customFormat="1" ht="59.25" customHeight="1">
      <c r="A18" s="125"/>
      <c r="B18" s="89"/>
      <c r="C18" s="127" t="s">
        <v>238</v>
      </c>
      <c r="D18" s="132" t="s">
        <v>67</v>
      </c>
      <c r="E18" s="124">
        <f>177700</f>
        <v>177700</v>
      </c>
      <c r="F18" s="195"/>
      <c r="G18" s="195"/>
      <c r="H18" s="148">
        <f>SUM(E18+F18-G18)</f>
        <v>177700</v>
      </c>
    </row>
    <row r="19" spans="1:8" s="43" customFormat="1" ht="21.75" customHeight="1">
      <c r="A19" s="125"/>
      <c r="B19" s="89"/>
      <c r="C19" s="127" t="s">
        <v>307</v>
      </c>
      <c r="D19" s="132" t="s">
        <v>289</v>
      </c>
      <c r="E19" s="124">
        <f>408200+57800+432000+115000+50000</f>
        <v>1063000</v>
      </c>
      <c r="F19" s="195"/>
      <c r="G19" s="195"/>
      <c r="H19" s="148">
        <f>SUM(E19+F19-G19)</f>
        <v>1063000</v>
      </c>
    </row>
    <row r="20" spans="1:8" s="43" customFormat="1" ht="21.75" customHeight="1">
      <c r="A20" s="125"/>
      <c r="B20" s="89"/>
      <c r="C20" s="127" t="s">
        <v>239</v>
      </c>
      <c r="D20" s="132" t="s">
        <v>14</v>
      </c>
      <c r="E20" s="124">
        <v>10000</v>
      </c>
      <c r="F20" s="195"/>
      <c r="G20" s="195"/>
      <c r="H20" s="148">
        <f>SUM(E20+F20-G20)</f>
        <v>10000</v>
      </c>
    </row>
    <row r="21" spans="1:8" s="8" customFormat="1" ht="24.75" customHeight="1">
      <c r="A21" s="57" t="s">
        <v>18</v>
      </c>
      <c r="B21" s="4"/>
      <c r="C21" s="5"/>
      <c r="D21" s="58" t="s">
        <v>19</v>
      </c>
      <c r="E21" s="110">
        <f>SUM(E22,E25)</f>
        <v>183550</v>
      </c>
      <c r="F21" s="110" t="e">
        <f>SUM(F22,F25,#REF!)</f>
        <v>#REF!</v>
      </c>
      <c r="G21" s="110" t="e">
        <f>SUM(G22,G25,#REF!)</f>
        <v>#REF!</v>
      </c>
      <c r="H21" s="110" t="e">
        <f>SUM(H22,H25,#REF!)</f>
        <v>#REF!</v>
      </c>
    </row>
    <row r="22" spans="1:8" s="43" customFormat="1" ht="21" customHeight="1">
      <c r="A22" s="125"/>
      <c r="B22" s="126">
        <v>75011</v>
      </c>
      <c r="C22" s="135"/>
      <c r="D22" s="132" t="s">
        <v>20</v>
      </c>
      <c r="E22" s="124">
        <f>SUM(E23:E24)</f>
        <v>148550</v>
      </c>
      <c r="F22" s="141">
        <f>SUM(F23:F24)</f>
        <v>0</v>
      </c>
      <c r="G22" s="141">
        <f>SUM(G23:G24)</f>
        <v>0</v>
      </c>
      <c r="H22" s="141">
        <f>SUM(H23:H24)</f>
        <v>148550</v>
      </c>
    </row>
    <row r="23" spans="1:8" s="43" customFormat="1" ht="51" customHeight="1">
      <c r="A23" s="125"/>
      <c r="B23" s="89"/>
      <c r="C23" s="127">
        <v>2010</v>
      </c>
      <c r="D23" s="132" t="s">
        <v>363</v>
      </c>
      <c r="E23" s="141">
        <v>144800</v>
      </c>
      <c r="F23" s="195"/>
      <c r="G23" s="195"/>
      <c r="H23" s="148">
        <f>SUM(E23+F23-G23)</f>
        <v>144800</v>
      </c>
    </row>
    <row r="24" spans="1:8" s="43" customFormat="1" ht="49.5" customHeight="1">
      <c r="A24" s="125"/>
      <c r="B24" s="89"/>
      <c r="C24" s="127">
        <v>2360</v>
      </c>
      <c r="D24" s="132" t="s">
        <v>273</v>
      </c>
      <c r="E24" s="124">
        <v>3750</v>
      </c>
      <c r="F24" s="195"/>
      <c r="G24" s="195"/>
      <c r="H24" s="148">
        <f>SUM(E24+F24-G24)</f>
        <v>3750</v>
      </c>
    </row>
    <row r="25" spans="1:8" s="43" customFormat="1" ht="23.25" customHeight="1">
      <c r="A25" s="133"/>
      <c r="B25" s="126" t="s">
        <v>21</v>
      </c>
      <c r="C25" s="135"/>
      <c r="D25" s="132" t="s">
        <v>22</v>
      </c>
      <c r="E25" s="124">
        <f>SUM(E26)</f>
        <v>35000</v>
      </c>
      <c r="F25" s="141">
        <f>SUM(F26)</f>
        <v>0</v>
      </c>
      <c r="G25" s="141">
        <f>SUM(G26)</f>
        <v>0</v>
      </c>
      <c r="H25" s="141">
        <f>SUM(H26)</f>
        <v>35000</v>
      </c>
    </row>
    <row r="26" spans="1:8" s="43" customFormat="1" ht="21.75" customHeight="1">
      <c r="A26" s="133"/>
      <c r="B26" s="126"/>
      <c r="C26" s="134" t="s">
        <v>240</v>
      </c>
      <c r="D26" s="132" t="s">
        <v>15</v>
      </c>
      <c r="E26" s="124">
        <v>35000</v>
      </c>
      <c r="F26" s="195"/>
      <c r="G26" s="195"/>
      <c r="H26" s="148">
        <f>SUM(E26+F26-G26)</f>
        <v>35000</v>
      </c>
    </row>
    <row r="27" spans="1:8" s="8" customFormat="1" ht="36">
      <c r="A27" s="57">
        <v>751</v>
      </c>
      <c r="B27" s="6"/>
      <c r="C27" s="38"/>
      <c r="D27" s="58" t="s">
        <v>23</v>
      </c>
      <c r="E27" s="110">
        <f>SUM(E28,E30)</f>
        <v>3930</v>
      </c>
      <c r="F27" s="110">
        <f>SUM(F28,F30)</f>
        <v>0</v>
      </c>
      <c r="G27" s="110">
        <f>SUM(G28,G30)</f>
        <v>0</v>
      </c>
      <c r="H27" s="110">
        <f>SUM(H28,H30)</f>
        <v>3930</v>
      </c>
    </row>
    <row r="28" spans="1:8" s="43" customFormat="1" ht="27.75" customHeight="1">
      <c r="A28" s="133"/>
      <c r="B28" s="126">
        <v>75101</v>
      </c>
      <c r="C28" s="135"/>
      <c r="D28" s="132" t="s">
        <v>24</v>
      </c>
      <c r="E28" s="124">
        <f>SUM(E29)</f>
        <v>3930</v>
      </c>
      <c r="F28" s="141">
        <f>SUM(F29)</f>
        <v>0</v>
      </c>
      <c r="G28" s="141">
        <f>SUM(G29)</f>
        <v>0</v>
      </c>
      <c r="H28" s="141">
        <f>SUM(H29)</f>
        <v>3930</v>
      </c>
    </row>
    <row r="29" spans="1:8" s="43" customFormat="1" ht="51.75" customHeight="1">
      <c r="A29" s="133"/>
      <c r="B29" s="126"/>
      <c r="C29" s="135">
        <v>2010</v>
      </c>
      <c r="D29" s="132" t="s">
        <v>363</v>
      </c>
      <c r="E29" s="124">
        <v>3930</v>
      </c>
      <c r="F29" s="195"/>
      <c r="G29" s="195"/>
      <c r="H29" s="148">
        <f>SUM(E29+F29-G29)</f>
        <v>3930</v>
      </c>
    </row>
    <row r="30" spans="1:8" s="43" customFormat="1" ht="19.5" customHeight="1" hidden="1">
      <c r="A30" s="133"/>
      <c r="B30" s="126">
        <v>75107</v>
      </c>
      <c r="C30" s="135"/>
      <c r="D30" s="132" t="s">
        <v>350</v>
      </c>
      <c r="E30" s="124">
        <f>SUM(E31)</f>
        <v>0</v>
      </c>
      <c r="F30" s="124">
        <f>SUM(F31)</f>
        <v>0</v>
      </c>
      <c r="G30" s="124">
        <f>SUM(G31)</f>
        <v>0</v>
      </c>
      <c r="H30" s="124">
        <f>SUM(H31)</f>
        <v>0</v>
      </c>
    </row>
    <row r="31" spans="1:8" s="43" customFormat="1" ht="56.25" hidden="1">
      <c r="A31" s="133"/>
      <c r="B31" s="126"/>
      <c r="C31" s="135">
        <v>2010</v>
      </c>
      <c r="D31" s="132" t="s">
        <v>330</v>
      </c>
      <c r="E31" s="124"/>
      <c r="F31" s="195"/>
      <c r="G31" s="195"/>
      <c r="H31" s="148">
        <f>SUM(E31+F31-G31)</f>
        <v>0</v>
      </c>
    </row>
    <row r="32" spans="1:8" s="8" customFormat="1" ht="24.75" customHeight="1">
      <c r="A32" s="57" t="s">
        <v>25</v>
      </c>
      <c r="B32" s="4"/>
      <c r="C32" s="5"/>
      <c r="D32" s="58" t="s">
        <v>26</v>
      </c>
      <c r="E32" s="110">
        <f>E33+E35</f>
        <v>4000</v>
      </c>
      <c r="F32" s="110" t="e">
        <f>SUM(#REF!,F33,F35)</f>
        <v>#REF!</v>
      </c>
      <c r="G32" s="110" t="e">
        <f>SUM(#REF!,G33,G35)</f>
        <v>#REF!</v>
      </c>
      <c r="H32" s="110" t="e">
        <f>SUM(#REF!,H33,H35)</f>
        <v>#REF!</v>
      </c>
    </row>
    <row r="33" spans="1:8" s="43" customFormat="1" ht="21.75" customHeight="1">
      <c r="A33" s="133"/>
      <c r="B33" s="126" t="s">
        <v>27</v>
      </c>
      <c r="C33" s="135"/>
      <c r="D33" s="132" t="s">
        <v>28</v>
      </c>
      <c r="E33" s="124">
        <f>SUM(E34)</f>
        <v>400</v>
      </c>
      <c r="F33" s="141">
        <f>SUM(F34)</f>
        <v>0</v>
      </c>
      <c r="G33" s="141">
        <f>SUM(G34)</f>
        <v>0</v>
      </c>
      <c r="H33" s="141">
        <f>SUM(H34)</f>
        <v>400</v>
      </c>
    </row>
    <row r="34" spans="1:8" s="43" customFormat="1" ht="51.75" customHeight="1">
      <c r="A34" s="133"/>
      <c r="B34" s="126"/>
      <c r="C34" s="127">
        <v>2010</v>
      </c>
      <c r="D34" s="132" t="s">
        <v>363</v>
      </c>
      <c r="E34" s="124">
        <v>400</v>
      </c>
      <c r="F34" s="195"/>
      <c r="G34" s="195"/>
      <c r="H34" s="148">
        <f>SUM(E34+F34-G34)</f>
        <v>400</v>
      </c>
    </row>
    <row r="35" spans="1:8" s="43" customFormat="1" ht="21.75" customHeight="1">
      <c r="A35" s="133"/>
      <c r="B35" s="126" t="s">
        <v>29</v>
      </c>
      <c r="C35" s="135"/>
      <c r="D35" s="132" t="s">
        <v>30</v>
      </c>
      <c r="E35" s="124">
        <f>SUM(E36:E37)</f>
        <v>3600</v>
      </c>
      <c r="F35" s="124">
        <f>SUM(F36:F37)</f>
        <v>0</v>
      </c>
      <c r="G35" s="124">
        <f>SUM(G36:G37)</f>
        <v>0</v>
      </c>
      <c r="H35" s="124">
        <f>SUM(H36:H37)</f>
        <v>3600</v>
      </c>
    </row>
    <row r="36" spans="1:8" s="43" customFormat="1" ht="24" customHeight="1">
      <c r="A36" s="133"/>
      <c r="B36" s="89"/>
      <c r="C36" s="127" t="s">
        <v>241</v>
      </c>
      <c r="D36" s="132" t="s">
        <v>31</v>
      </c>
      <c r="E36" s="124">
        <f>3500</f>
        <v>3500</v>
      </c>
      <c r="F36" s="195"/>
      <c r="G36" s="195"/>
      <c r="H36" s="148">
        <f>SUM(E36+F36-G36)</f>
        <v>3500</v>
      </c>
    </row>
    <row r="37" spans="1:8" s="43" customFormat="1" ht="21.75" customHeight="1">
      <c r="A37" s="133"/>
      <c r="B37" s="89"/>
      <c r="C37" s="127" t="s">
        <v>239</v>
      </c>
      <c r="D37" s="132" t="s">
        <v>14</v>
      </c>
      <c r="E37" s="124">
        <v>100</v>
      </c>
      <c r="F37" s="195"/>
      <c r="G37" s="195"/>
      <c r="H37" s="148">
        <f>SUM(E37+F37-G37)</f>
        <v>100</v>
      </c>
    </row>
    <row r="38" spans="1:8" s="8" customFormat="1" ht="54" customHeight="1">
      <c r="A38" s="57" t="s">
        <v>32</v>
      </c>
      <c r="B38" s="4"/>
      <c r="C38" s="5"/>
      <c r="D38" s="58" t="s">
        <v>228</v>
      </c>
      <c r="E38" s="110">
        <f>SUM(E39,E42,E50,E62,E67,)</f>
        <v>17580618</v>
      </c>
      <c r="F38" s="110">
        <f>SUM(F39,F42,F50,F62,F67,)</f>
        <v>0</v>
      </c>
      <c r="G38" s="110">
        <f>SUM(G39,G42,G50,G62,G67,)</f>
        <v>0</v>
      </c>
      <c r="H38" s="110">
        <f>SUM(H39,H42,H50,H62,H67,)</f>
        <v>17580618</v>
      </c>
    </row>
    <row r="39" spans="1:8" s="43" customFormat="1" ht="22.5">
      <c r="A39" s="125"/>
      <c r="B39" s="89">
        <v>75601</v>
      </c>
      <c r="C39" s="135"/>
      <c r="D39" s="132" t="s">
        <v>34</v>
      </c>
      <c r="E39" s="124">
        <f>SUM(E40:E41)</f>
        <v>45000</v>
      </c>
      <c r="F39" s="124">
        <f>SUM(F40:F41)</f>
        <v>0</v>
      </c>
      <c r="G39" s="124">
        <f>SUM(G40:G41)</f>
        <v>0</v>
      </c>
      <c r="H39" s="124">
        <f>SUM(H40:H41)</f>
        <v>45000</v>
      </c>
    </row>
    <row r="40" spans="1:8" s="43" customFormat="1" ht="37.5" customHeight="1">
      <c r="A40" s="125"/>
      <c r="B40" s="89"/>
      <c r="C40" s="134" t="s">
        <v>242</v>
      </c>
      <c r="D40" s="132" t="s">
        <v>35</v>
      </c>
      <c r="E40" s="124">
        <v>44000</v>
      </c>
      <c r="F40" s="195"/>
      <c r="G40" s="195"/>
      <c r="H40" s="148">
        <f aca="true" t="shared" si="2" ref="H40:H96">SUM(E40+F40-G40)</f>
        <v>44000</v>
      </c>
    </row>
    <row r="41" spans="1:8" s="43" customFormat="1" ht="22.5">
      <c r="A41" s="125"/>
      <c r="B41" s="89"/>
      <c r="C41" s="134" t="s">
        <v>243</v>
      </c>
      <c r="D41" s="132" t="s">
        <v>42</v>
      </c>
      <c r="E41" s="124">
        <v>1000</v>
      </c>
      <c r="F41" s="195"/>
      <c r="G41" s="195"/>
      <c r="H41" s="148">
        <f t="shared" si="2"/>
        <v>1000</v>
      </c>
    </row>
    <row r="42" spans="1:8" s="43" customFormat="1" ht="48.75" customHeight="1">
      <c r="A42" s="125"/>
      <c r="B42" s="126" t="s">
        <v>36</v>
      </c>
      <c r="C42" s="135"/>
      <c r="D42" s="132" t="s">
        <v>294</v>
      </c>
      <c r="E42" s="124">
        <f>SUM(E43:E49)</f>
        <v>6677340</v>
      </c>
      <c r="F42" s="124">
        <f>SUM(F43:F49)</f>
        <v>0</v>
      </c>
      <c r="G42" s="124">
        <f>SUM(G43:G49)</f>
        <v>0</v>
      </c>
      <c r="H42" s="124">
        <f>SUM(H43:H49)</f>
        <v>6677340</v>
      </c>
    </row>
    <row r="43" spans="1:8" s="43" customFormat="1" ht="21.75" customHeight="1">
      <c r="A43" s="125"/>
      <c r="B43" s="126"/>
      <c r="C43" s="127" t="s">
        <v>244</v>
      </c>
      <c r="D43" s="132" t="s">
        <v>37</v>
      </c>
      <c r="E43" s="124">
        <f>5996282+50000+40000</f>
        <v>6086282</v>
      </c>
      <c r="F43" s="195"/>
      <c r="G43" s="195"/>
      <c r="H43" s="148">
        <f t="shared" si="2"/>
        <v>6086282</v>
      </c>
    </row>
    <row r="44" spans="1:8" s="43" customFormat="1" ht="21.75" customHeight="1">
      <c r="A44" s="125"/>
      <c r="B44" s="126"/>
      <c r="C44" s="127" t="s">
        <v>245</v>
      </c>
      <c r="D44" s="132" t="s">
        <v>38</v>
      </c>
      <c r="E44" s="124">
        <v>26592</v>
      </c>
      <c r="F44" s="195"/>
      <c r="G44" s="195"/>
      <c r="H44" s="148">
        <f t="shared" si="2"/>
        <v>26592</v>
      </c>
    </row>
    <row r="45" spans="1:8" s="43" customFormat="1" ht="21.75" customHeight="1">
      <c r="A45" s="125"/>
      <c r="B45" s="126"/>
      <c r="C45" s="127" t="s">
        <v>246</v>
      </c>
      <c r="D45" s="132" t="s">
        <v>39</v>
      </c>
      <c r="E45" s="124">
        <v>304956</v>
      </c>
      <c r="F45" s="195"/>
      <c r="G45" s="195"/>
      <c r="H45" s="148">
        <f t="shared" si="2"/>
        <v>304956</v>
      </c>
    </row>
    <row r="46" spans="1:8" s="43" customFormat="1" ht="21.75" customHeight="1">
      <c r="A46" s="125"/>
      <c r="B46" s="126"/>
      <c r="C46" s="127" t="s">
        <v>247</v>
      </c>
      <c r="D46" s="132" t="s">
        <v>40</v>
      </c>
      <c r="E46" s="124">
        <v>38000</v>
      </c>
      <c r="F46" s="195"/>
      <c r="G46" s="195"/>
      <c r="H46" s="148">
        <f t="shared" si="2"/>
        <v>38000</v>
      </c>
    </row>
    <row r="47" spans="1:8" s="43" customFormat="1" ht="21.75" customHeight="1">
      <c r="A47" s="125"/>
      <c r="B47" s="126"/>
      <c r="C47" s="127" t="s">
        <v>254</v>
      </c>
      <c r="D47" s="132" t="s">
        <v>48</v>
      </c>
      <c r="E47" s="124">
        <v>40000</v>
      </c>
      <c r="F47" s="195"/>
      <c r="G47" s="195"/>
      <c r="H47" s="148">
        <f t="shared" si="2"/>
        <v>40000</v>
      </c>
    </row>
    <row r="48" spans="1:8" s="43" customFormat="1" ht="21.75" customHeight="1">
      <c r="A48" s="125"/>
      <c r="B48" s="126"/>
      <c r="C48" s="122" t="s">
        <v>243</v>
      </c>
      <c r="D48" s="119" t="s">
        <v>331</v>
      </c>
      <c r="E48" s="136">
        <v>40000</v>
      </c>
      <c r="F48" s="195"/>
      <c r="G48" s="195"/>
      <c r="H48" s="148">
        <f t="shared" si="2"/>
        <v>40000</v>
      </c>
    </row>
    <row r="49" spans="1:8" s="43" customFormat="1" ht="39" customHeight="1">
      <c r="A49" s="125"/>
      <c r="B49" s="126"/>
      <c r="C49" s="127">
        <v>2440</v>
      </c>
      <c r="D49" s="132" t="s">
        <v>274</v>
      </c>
      <c r="E49" s="124">
        <v>141510</v>
      </c>
      <c r="F49" s="195"/>
      <c r="G49" s="195"/>
      <c r="H49" s="148">
        <f t="shared" si="2"/>
        <v>141510</v>
      </c>
    </row>
    <row r="50" spans="1:8" s="43" customFormat="1" ht="48" customHeight="1">
      <c r="A50" s="125"/>
      <c r="B50" s="126">
        <v>75616</v>
      </c>
      <c r="C50" s="127"/>
      <c r="D50" s="132" t="s">
        <v>295</v>
      </c>
      <c r="E50" s="124">
        <f>SUM(E51:E61)</f>
        <v>3106003</v>
      </c>
      <c r="F50" s="124">
        <f>SUM(F51:F61)</f>
        <v>0</v>
      </c>
      <c r="G50" s="124">
        <f>SUM(G51:G61)</f>
        <v>0</v>
      </c>
      <c r="H50" s="124">
        <f>SUM(H51:H61)</f>
        <v>3106003</v>
      </c>
    </row>
    <row r="51" spans="1:8" s="43" customFormat="1" ht="21.75" customHeight="1">
      <c r="A51" s="125"/>
      <c r="B51" s="126"/>
      <c r="C51" s="127" t="s">
        <v>244</v>
      </c>
      <c r="D51" s="132" t="s">
        <v>37</v>
      </c>
      <c r="E51" s="124">
        <f>2155845+30000+40000</f>
        <v>2225845</v>
      </c>
      <c r="F51" s="195"/>
      <c r="G51" s="195"/>
      <c r="H51" s="148">
        <f t="shared" si="2"/>
        <v>2225845</v>
      </c>
    </row>
    <row r="52" spans="1:8" s="43" customFormat="1" ht="21.75" customHeight="1">
      <c r="A52" s="125"/>
      <c r="B52" s="126"/>
      <c r="C52" s="127" t="s">
        <v>245</v>
      </c>
      <c r="D52" s="132" t="s">
        <v>38</v>
      </c>
      <c r="E52" s="124">
        <v>303853</v>
      </c>
      <c r="F52" s="195"/>
      <c r="G52" s="195"/>
      <c r="H52" s="148">
        <f t="shared" si="2"/>
        <v>303853</v>
      </c>
    </row>
    <row r="53" spans="1:8" s="43" customFormat="1" ht="21.75" customHeight="1">
      <c r="A53" s="125"/>
      <c r="B53" s="126"/>
      <c r="C53" s="127" t="s">
        <v>246</v>
      </c>
      <c r="D53" s="132" t="s">
        <v>39</v>
      </c>
      <c r="E53" s="124">
        <v>8305</v>
      </c>
      <c r="F53" s="195"/>
      <c r="G53" s="195"/>
      <c r="H53" s="148">
        <f t="shared" si="2"/>
        <v>8305</v>
      </c>
    </row>
    <row r="54" spans="1:8" s="43" customFormat="1" ht="21.75" customHeight="1">
      <c r="A54" s="125"/>
      <c r="B54" s="126"/>
      <c r="C54" s="127" t="s">
        <v>247</v>
      </c>
      <c r="D54" s="132" t="s">
        <v>40</v>
      </c>
      <c r="E54" s="124">
        <v>132000</v>
      </c>
      <c r="F54" s="195"/>
      <c r="G54" s="195"/>
      <c r="H54" s="148">
        <f t="shared" si="2"/>
        <v>132000</v>
      </c>
    </row>
    <row r="55" spans="1:8" s="43" customFormat="1" ht="21.75" customHeight="1">
      <c r="A55" s="125"/>
      <c r="B55" s="126"/>
      <c r="C55" s="127" t="s">
        <v>248</v>
      </c>
      <c r="D55" s="132" t="s">
        <v>43</v>
      </c>
      <c r="E55" s="124">
        <v>0</v>
      </c>
      <c r="F55" s="195"/>
      <c r="G55" s="195"/>
      <c r="H55" s="148">
        <f t="shared" si="2"/>
        <v>0</v>
      </c>
    </row>
    <row r="56" spans="1:8" s="43" customFormat="1" ht="21.75" customHeight="1">
      <c r="A56" s="125"/>
      <c r="B56" s="126"/>
      <c r="C56" s="127" t="s">
        <v>249</v>
      </c>
      <c r="D56" s="132" t="s">
        <v>44</v>
      </c>
      <c r="E56" s="124">
        <v>12000</v>
      </c>
      <c r="F56" s="195"/>
      <c r="G56" s="195"/>
      <c r="H56" s="148">
        <f t="shared" si="2"/>
        <v>12000</v>
      </c>
    </row>
    <row r="57" spans="1:8" s="43" customFormat="1" ht="21.75" customHeight="1">
      <c r="A57" s="125"/>
      <c r="B57" s="126"/>
      <c r="C57" s="127" t="s">
        <v>250</v>
      </c>
      <c r="D57" s="132" t="s">
        <v>45</v>
      </c>
      <c r="E57" s="124">
        <v>58000</v>
      </c>
      <c r="F57" s="195"/>
      <c r="G57" s="195"/>
      <c r="H57" s="148">
        <f t="shared" si="2"/>
        <v>58000</v>
      </c>
    </row>
    <row r="58" spans="1:8" s="43" customFormat="1" ht="21.75" customHeight="1">
      <c r="A58" s="125"/>
      <c r="B58" s="126"/>
      <c r="C58" s="127" t="s">
        <v>251</v>
      </c>
      <c r="D58" s="132" t="s">
        <v>46</v>
      </c>
      <c r="E58" s="124">
        <v>1000</v>
      </c>
      <c r="F58" s="195"/>
      <c r="G58" s="195"/>
      <c r="H58" s="148">
        <f t="shared" si="2"/>
        <v>1000</v>
      </c>
    </row>
    <row r="59" spans="1:8" s="43" customFormat="1" ht="22.5">
      <c r="A59" s="125"/>
      <c r="B59" s="126"/>
      <c r="C59" s="127" t="s">
        <v>252</v>
      </c>
      <c r="D59" s="132" t="s">
        <v>47</v>
      </c>
      <c r="E59" s="124">
        <v>2000</v>
      </c>
      <c r="F59" s="195"/>
      <c r="G59" s="195"/>
      <c r="H59" s="148">
        <f t="shared" si="2"/>
        <v>2000</v>
      </c>
    </row>
    <row r="60" spans="1:8" s="43" customFormat="1" ht="21.75" customHeight="1">
      <c r="A60" s="125"/>
      <c r="B60" s="126"/>
      <c r="C60" s="127" t="s">
        <v>254</v>
      </c>
      <c r="D60" s="132" t="s">
        <v>48</v>
      </c>
      <c r="E60" s="124">
        <v>300000</v>
      </c>
      <c r="F60" s="195"/>
      <c r="G60" s="195"/>
      <c r="H60" s="148">
        <f t="shared" si="2"/>
        <v>300000</v>
      </c>
    </row>
    <row r="61" spans="1:8" s="43" customFormat="1" ht="21.75" customHeight="1">
      <c r="A61" s="125"/>
      <c r="B61" s="126"/>
      <c r="C61" s="127" t="s">
        <v>243</v>
      </c>
      <c r="D61" s="132" t="s">
        <v>331</v>
      </c>
      <c r="E61" s="124">
        <v>63000</v>
      </c>
      <c r="F61" s="195"/>
      <c r="G61" s="195"/>
      <c r="H61" s="148">
        <f t="shared" si="2"/>
        <v>63000</v>
      </c>
    </row>
    <row r="62" spans="1:8" s="43" customFormat="1" ht="39" customHeight="1">
      <c r="A62" s="125"/>
      <c r="B62" s="126" t="s">
        <v>49</v>
      </c>
      <c r="C62" s="135"/>
      <c r="D62" s="132" t="s">
        <v>50</v>
      </c>
      <c r="E62" s="124">
        <f>SUM(E63:E66)</f>
        <v>554000</v>
      </c>
      <c r="F62" s="124">
        <f>SUM(F63:F66)</f>
        <v>0</v>
      </c>
      <c r="G62" s="124">
        <f>SUM(G63:G66)</f>
        <v>0</v>
      </c>
      <c r="H62" s="124">
        <f>SUM(H63:H66)</f>
        <v>554000</v>
      </c>
    </row>
    <row r="63" spans="1:8" s="43" customFormat="1" ht="21.75" customHeight="1">
      <c r="A63" s="125"/>
      <c r="B63" s="126"/>
      <c r="C63" s="127" t="s">
        <v>255</v>
      </c>
      <c r="D63" s="132" t="s">
        <v>51</v>
      </c>
      <c r="E63" s="124">
        <v>220000</v>
      </c>
      <c r="F63" s="195"/>
      <c r="G63" s="195"/>
      <c r="H63" s="148">
        <f t="shared" si="2"/>
        <v>220000</v>
      </c>
    </row>
    <row r="64" spans="1:8" s="43" customFormat="1" ht="21.75" customHeight="1">
      <c r="A64" s="125"/>
      <c r="B64" s="126"/>
      <c r="C64" s="127" t="s">
        <v>253</v>
      </c>
      <c r="D64" s="132" t="s">
        <v>41</v>
      </c>
      <c r="E64" s="124">
        <v>14000</v>
      </c>
      <c r="F64" s="195"/>
      <c r="G64" s="195"/>
      <c r="H64" s="148">
        <f t="shared" si="2"/>
        <v>14000</v>
      </c>
    </row>
    <row r="65" spans="1:8" s="43" customFormat="1" ht="22.5">
      <c r="A65" s="125"/>
      <c r="B65" s="126"/>
      <c r="C65" s="127" t="s">
        <v>259</v>
      </c>
      <c r="D65" s="132" t="s">
        <v>66</v>
      </c>
      <c r="E65" s="124">
        <v>280000</v>
      </c>
      <c r="F65" s="195"/>
      <c r="G65" s="195"/>
      <c r="H65" s="148">
        <f t="shared" si="2"/>
        <v>280000</v>
      </c>
    </row>
    <row r="66" spans="1:8" s="43" customFormat="1" ht="36" customHeight="1">
      <c r="A66" s="125"/>
      <c r="B66" s="126"/>
      <c r="C66" s="127" t="s">
        <v>236</v>
      </c>
      <c r="D66" s="132" t="s">
        <v>7</v>
      </c>
      <c r="E66" s="124">
        <v>40000</v>
      </c>
      <c r="F66" s="195"/>
      <c r="G66" s="195"/>
      <c r="H66" s="148">
        <f t="shared" si="2"/>
        <v>40000</v>
      </c>
    </row>
    <row r="67" spans="1:8" s="43" customFormat="1" ht="27" customHeight="1">
      <c r="A67" s="125"/>
      <c r="B67" s="126" t="s">
        <v>52</v>
      </c>
      <c r="C67" s="135"/>
      <c r="D67" s="132" t="s">
        <v>53</v>
      </c>
      <c r="E67" s="124">
        <f>SUM(E68:E69)</f>
        <v>7198275</v>
      </c>
      <c r="F67" s="124">
        <f>SUM(F68:F69)</f>
        <v>0</v>
      </c>
      <c r="G67" s="124">
        <f>SUM(G68:G69)</f>
        <v>0</v>
      </c>
      <c r="H67" s="124">
        <f>SUM(H68:H69)</f>
        <v>7198275</v>
      </c>
    </row>
    <row r="68" spans="1:8" s="43" customFormat="1" ht="21.75" customHeight="1">
      <c r="A68" s="125"/>
      <c r="B68" s="126"/>
      <c r="C68" s="127" t="s">
        <v>256</v>
      </c>
      <c r="D68" s="132" t="s">
        <v>54</v>
      </c>
      <c r="E68" s="124">
        <v>6620275</v>
      </c>
      <c r="F68" s="148"/>
      <c r="G68" s="195"/>
      <c r="H68" s="148">
        <f t="shared" si="2"/>
        <v>6620275</v>
      </c>
    </row>
    <row r="69" spans="1:8" s="43" customFormat="1" ht="21.75" customHeight="1">
      <c r="A69" s="125"/>
      <c r="B69" s="126"/>
      <c r="C69" s="127" t="s">
        <v>257</v>
      </c>
      <c r="D69" s="132" t="s">
        <v>55</v>
      </c>
      <c r="E69" s="124">
        <f>528000+50000</f>
        <v>578000</v>
      </c>
      <c r="F69" s="195"/>
      <c r="G69" s="195"/>
      <c r="H69" s="148">
        <f t="shared" si="2"/>
        <v>578000</v>
      </c>
    </row>
    <row r="70" spans="1:8" s="8" customFormat="1" ht="24.75" customHeight="1">
      <c r="A70" s="57" t="s">
        <v>56</v>
      </c>
      <c r="B70" s="4"/>
      <c r="C70" s="5"/>
      <c r="D70" s="58" t="s">
        <v>57</v>
      </c>
      <c r="E70" s="110">
        <f>SUM(E71,E73,E75,E77)</f>
        <v>13918997</v>
      </c>
      <c r="F70" s="110">
        <f>SUM(F71,F73,F75,F77)</f>
        <v>0</v>
      </c>
      <c r="G70" s="110">
        <f>SUM(G71,G73,G75,G77)</f>
        <v>0</v>
      </c>
      <c r="H70" s="110">
        <f>SUM(H71,H73,H75,H77)</f>
        <v>13918997</v>
      </c>
    </row>
    <row r="71" spans="1:8" s="43" customFormat="1" ht="27" customHeight="1">
      <c r="A71" s="125"/>
      <c r="B71" s="126" t="s">
        <v>58</v>
      </c>
      <c r="C71" s="135"/>
      <c r="D71" s="132" t="s">
        <v>59</v>
      </c>
      <c r="E71" s="124">
        <f>SUM(E72)</f>
        <v>10347873</v>
      </c>
      <c r="F71" s="124">
        <f>SUM(F72)</f>
        <v>0</v>
      </c>
      <c r="G71" s="124">
        <f>SUM(G72)</f>
        <v>0</v>
      </c>
      <c r="H71" s="124">
        <f>SUM(H72)</f>
        <v>10347873</v>
      </c>
    </row>
    <row r="72" spans="1:8" s="43" customFormat="1" ht="24" customHeight="1">
      <c r="A72" s="125"/>
      <c r="B72" s="126"/>
      <c r="C72" s="127">
        <v>2920</v>
      </c>
      <c r="D72" s="132" t="s">
        <v>60</v>
      </c>
      <c r="E72" s="124">
        <v>10347873</v>
      </c>
      <c r="F72" s="195"/>
      <c r="G72" s="148"/>
      <c r="H72" s="148">
        <f t="shared" si="2"/>
        <v>10347873</v>
      </c>
    </row>
    <row r="73" spans="1:8" s="43" customFormat="1" ht="21.75" customHeight="1">
      <c r="A73" s="125"/>
      <c r="B73" s="126" t="s">
        <v>276</v>
      </c>
      <c r="C73" s="135"/>
      <c r="D73" s="132" t="s">
        <v>275</v>
      </c>
      <c r="E73" s="124">
        <f>SUM(E74)</f>
        <v>2703600</v>
      </c>
      <c r="F73" s="124">
        <f>SUM(F74)</f>
        <v>0</v>
      </c>
      <c r="G73" s="124">
        <f>SUM(G74)</f>
        <v>0</v>
      </c>
      <c r="H73" s="124">
        <f>SUM(H74)</f>
        <v>2703600</v>
      </c>
    </row>
    <row r="74" spans="1:8" s="43" customFormat="1" ht="25.5" customHeight="1">
      <c r="A74" s="125"/>
      <c r="B74" s="126"/>
      <c r="C74" s="127">
        <v>2920</v>
      </c>
      <c r="D74" s="132" t="s">
        <v>60</v>
      </c>
      <c r="E74" s="124">
        <v>2703600</v>
      </c>
      <c r="F74" s="195"/>
      <c r="G74" s="195"/>
      <c r="H74" s="148">
        <f t="shared" si="2"/>
        <v>2703600</v>
      </c>
    </row>
    <row r="75" spans="1:8" s="43" customFormat="1" ht="21" customHeight="1">
      <c r="A75" s="125"/>
      <c r="B75" s="126">
        <v>75814</v>
      </c>
      <c r="C75" s="135"/>
      <c r="D75" s="132" t="s">
        <v>61</v>
      </c>
      <c r="E75" s="124">
        <f>SUM(E76)</f>
        <v>5000</v>
      </c>
      <c r="F75" s="124">
        <f>SUM(F76)</f>
        <v>0</v>
      </c>
      <c r="G75" s="124">
        <f>SUM(G76)</f>
        <v>0</v>
      </c>
      <c r="H75" s="124">
        <f>SUM(H76)</f>
        <v>5000</v>
      </c>
    </row>
    <row r="76" spans="1:8" s="43" customFormat="1" ht="21.75" customHeight="1">
      <c r="A76" s="125"/>
      <c r="B76" s="126"/>
      <c r="C76" s="127" t="s">
        <v>239</v>
      </c>
      <c r="D76" s="132" t="s">
        <v>14</v>
      </c>
      <c r="E76" s="124">
        <v>5000</v>
      </c>
      <c r="F76" s="195"/>
      <c r="G76" s="195"/>
      <c r="H76" s="148">
        <f t="shared" si="2"/>
        <v>5000</v>
      </c>
    </row>
    <row r="77" spans="1:8" s="43" customFormat="1" ht="20.25" customHeight="1">
      <c r="A77" s="125"/>
      <c r="B77" s="126" t="s">
        <v>366</v>
      </c>
      <c r="C77" s="135"/>
      <c r="D77" s="132" t="s">
        <v>367</v>
      </c>
      <c r="E77" s="124">
        <f>SUM(E78)</f>
        <v>862524</v>
      </c>
      <c r="F77" s="124">
        <f>SUM(F78)</f>
        <v>0</v>
      </c>
      <c r="G77" s="124">
        <f>SUM(G78)</f>
        <v>0</v>
      </c>
      <c r="H77" s="124">
        <f>SUM(H78)</f>
        <v>862524</v>
      </c>
    </row>
    <row r="78" spans="1:8" s="43" customFormat="1" ht="25.5" customHeight="1">
      <c r="A78" s="125"/>
      <c r="B78" s="126"/>
      <c r="C78" s="127">
        <v>2920</v>
      </c>
      <c r="D78" s="132" t="s">
        <v>60</v>
      </c>
      <c r="E78" s="124">
        <v>862524</v>
      </c>
      <c r="F78" s="195"/>
      <c r="G78" s="195"/>
      <c r="H78" s="148">
        <f>SUM(E78+F78-G78)</f>
        <v>862524</v>
      </c>
    </row>
    <row r="79" spans="1:8" s="8" customFormat="1" ht="24.75" customHeight="1">
      <c r="A79" s="57" t="s">
        <v>230</v>
      </c>
      <c r="B79" s="4"/>
      <c r="C79" s="5"/>
      <c r="D79" s="58" t="s">
        <v>280</v>
      </c>
      <c r="E79" s="110">
        <f>SUM(E80,E82,E84,E87,E90)</f>
        <v>7108846</v>
      </c>
      <c r="F79" s="110">
        <f>SUM(F80,F82,F84,F87,F90)</f>
        <v>0</v>
      </c>
      <c r="G79" s="110">
        <f>SUM(G80,G82,G84,G87,G90)</f>
        <v>0</v>
      </c>
      <c r="H79" s="110">
        <f>SUM(H80,H82,H84,H87,H90)</f>
        <v>7108846</v>
      </c>
    </row>
    <row r="80" spans="1:8" s="43" customFormat="1" ht="37.5" customHeight="1">
      <c r="A80" s="125"/>
      <c r="B80" s="89">
        <v>85212</v>
      </c>
      <c r="C80" s="134"/>
      <c r="D80" s="132" t="s">
        <v>325</v>
      </c>
      <c r="E80" s="124">
        <f>SUM(E81)</f>
        <v>5507000</v>
      </c>
      <c r="F80" s="124">
        <f>SUM(F81)</f>
        <v>0</v>
      </c>
      <c r="G80" s="124">
        <f>SUM(G81)</f>
        <v>0</v>
      </c>
      <c r="H80" s="124">
        <f>SUM(H81)</f>
        <v>5507000</v>
      </c>
    </row>
    <row r="81" spans="1:8" s="43" customFormat="1" ht="49.5" customHeight="1">
      <c r="A81" s="125"/>
      <c r="B81" s="89"/>
      <c r="C81" s="134">
        <v>2010</v>
      </c>
      <c r="D81" s="132" t="s">
        <v>363</v>
      </c>
      <c r="E81" s="124">
        <v>5507000</v>
      </c>
      <c r="F81" s="195"/>
      <c r="G81" s="195"/>
      <c r="H81" s="148">
        <f t="shared" si="2"/>
        <v>5507000</v>
      </c>
    </row>
    <row r="82" spans="1:8" s="43" customFormat="1" ht="48" customHeight="1">
      <c r="A82" s="125"/>
      <c r="B82" s="89">
        <v>85213</v>
      </c>
      <c r="C82" s="135"/>
      <c r="D82" s="132" t="s">
        <v>332</v>
      </c>
      <c r="E82" s="124">
        <f>SUM(E83)</f>
        <v>74700</v>
      </c>
      <c r="F82" s="124">
        <f>SUM(F83)</f>
        <v>0</v>
      </c>
      <c r="G82" s="124">
        <f>SUM(G83)</f>
        <v>0</v>
      </c>
      <c r="H82" s="124">
        <f>SUM(H83)</f>
        <v>74700</v>
      </c>
    </row>
    <row r="83" spans="1:8" s="43" customFormat="1" ht="45">
      <c r="A83" s="125"/>
      <c r="B83" s="89"/>
      <c r="C83" s="135">
        <v>2010</v>
      </c>
      <c r="D83" s="132" t="s">
        <v>363</v>
      </c>
      <c r="E83" s="124">
        <v>74700</v>
      </c>
      <c r="F83" s="195"/>
      <c r="G83" s="195"/>
      <c r="H83" s="148">
        <f t="shared" si="2"/>
        <v>74700</v>
      </c>
    </row>
    <row r="84" spans="1:8" s="43" customFormat="1" ht="26.25" customHeight="1">
      <c r="A84" s="125"/>
      <c r="B84" s="126" t="s">
        <v>231</v>
      </c>
      <c r="C84" s="135"/>
      <c r="D84" s="132" t="s">
        <v>68</v>
      </c>
      <c r="E84" s="124">
        <f>SUM(E85:E86)</f>
        <v>1005400</v>
      </c>
      <c r="F84" s="124">
        <f>SUM(F85:F86)</f>
        <v>0</v>
      </c>
      <c r="G84" s="124">
        <f>SUM(G85:G86)</f>
        <v>0</v>
      </c>
      <c r="H84" s="124">
        <f>SUM(H85:H86)</f>
        <v>1005400</v>
      </c>
    </row>
    <row r="85" spans="1:8" s="43" customFormat="1" ht="49.5" customHeight="1">
      <c r="A85" s="125"/>
      <c r="B85" s="126"/>
      <c r="C85" s="127">
        <v>2010</v>
      </c>
      <c r="D85" s="132" t="s">
        <v>363</v>
      </c>
      <c r="E85" s="124">
        <v>569300</v>
      </c>
      <c r="F85" s="195"/>
      <c r="G85" s="195"/>
      <c r="H85" s="148">
        <f t="shared" si="2"/>
        <v>569300</v>
      </c>
    </row>
    <row r="86" spans="1:8" s="43" customFormat="1" ht="37.5" customHeight="1">
      <c r="A86" s="125"/>
      <c r="B86" s="126"/>
      <c r="C86" s="127">
        <v>2030</v>
      </c>
      <c r="D86" s="132" t="s">
        <v>364</v>
      </c>
      <c r="E86" s="124">
        <v>436100</v>
      </c>
      <c r="F86" s="195"/>
      <c r="G86" s="195"/>
      <c r="H86" s="148">
        <f t="shared" si="2"/>
        <v>436100</v>
      </c>
    </row>
    <row r="87" spans="1:8" s="43" customFormat="1" ht="24.75" customHeight="1">
      <c r="A87" s="125"/>
      <c r="B87" s="126" t="s">
        <v>232</v>
      </c>
      <c r="C87" s="135"/>
      <c r="D87" s="132" t="s">
        <v>70</v>
      </c>
      <c r="E87" s="124">
        <f>SUM(E88:E89)</f>
        <v>380200</v>
      </c>
      <c r="F87" s="124">
        <f>SUM(F88:F89)</f>
        <v>0</v>
      </c>
      <c r="G87" s="124">
        <f>SUM(G88:G89)</f>
        <v>0</v>
      </c>
      <c r="H87" s="124">
        <f>SUM(H88:H89)</f>
        <v>380200</v>
      </c>
    </row>
    <row r="88" spans="1:8" s="43" customFormat="1" ht="22.5" customHeight="1">
      <c r="A88" s="125"/>
      <c r="B88" s="126"/>
      <c r="C88" s="134" t="s">
        <v>303</v>
      </c>
      <c r="D88" s="132" t="s">
        <v>304</v>
      </c>
      <c r="E88" s="124">
        <v>68000</v>
      </c>
      <c r="F88" s="195"/>
      <c r="G88" s="195"/>
      <c r="H88" s="148">
        <f t="shared" si="2"/>
        <v>68000</v>
      </c>
    </row>
    <row r="89" spans="1:8" s="43" customFormat="1" ht="33.75">
      <c r="A89" s="125"/>
      <c r="B89" s="126"/>
      <c r="C89" s="127">
        <v>2030</v>
      </c>
      <c r="D89" s="132" t="s">
        <v>364</v>
      </c>
      <c r="E89" s="124">
        <v>312200</v>
      </c>
      <c r="F89" s="195"/>
      <c r="G89" s="195"/>
      <c r="H89" s="148">
        <f t="shared" si="2"/>
        <v>312200</v>
      </c>
    </row>
    <row r="90" spans="1:8" s="43" customFormat="1" ht="24" customHeight="1">
      <c r="A90" s="125"/>
      <c r="B90" s="126">
        <v>85295</v>
      </c>
      <c r="C90" s="127"/>
      <c r="D90" s="132" t="s">
        <v>336</v>
      </c>
      <c r="E90" s="124">
        <f>SUM(E91)</f>
        <v>141546</v>
      </c>
      <c r="F90" s="124">
        <f>SUM(F91)</f>
        <v>0</v>
      </c>
      <c r="G90" s="124">
        <f>SUM(G91)</f>
        <v>0</v>
      </c>
      <c r="H90" s="124">
        <f>SUM(H91)</f>
        <v>141546</v>
      </c>
    </row>
    <row r="91" spans="1:8" s="43" customFormat="1" ht="33.75">
      <c r="A91" s="125"/>
      <c r="B91" s="126"/>
      <c r="C91" s="127">
        <v>2030</v>
      </c>
      <c r="D91" s="132" t="s">
        <v>364</v>
      </c>
      <c r="E91" s="124">
        <v>141546</v>
      </c>
      <c r="F91" s="195"/>
      <c r="G91" s="195"/>
      <c r="H91" s="148">
        <f t="shared" si="2"/>
        <v>141546</v>
      </c>
    </row>
    <row r="92" spans="1:8" s="9" customFormat="1" ht="24.75" customHeight="1">
      <c r="A92" s="57">
        <v>900</v>
      </c>
      <c r="B92" s="60"/>
      <c r="C92" s="61"/>
      <c r="D92" s="58" t="s">
        <v>73</v>
      </c>
      <c r="E92" s="110">
        <f>SUM(E93,E95,E97)</f>
        <v>11000</v>
      </c>
      <c r="F92" s="110">
        <f>SUM(F93,F95,F97)</f>
        <v>0</v>
      </c>
      <c r="G92" s="110">
        <f>SUM(G93,G95,G97)</f>
        <v>0</v>
      </c>
      <c r="H92" s="110">
        <f>SUM(H93,H95,H97)</f>
        <v>11000</v>
      </c>
    </row>
    <row r="93" spans="1:8" s="43" customFormat="1" ht="21.75" customHeight="1">
      <c r="A93" s="125"/>
      <c r="B93" s="126">
        <v>90001</v>
      </c>
      <c r="C93" s="127"/>
      <c r="D93" s="132" t="s">
        <v>74</v>
      </c>
      <c r="E93" s="124">
        <f>SUM(E94:E94)</f>
        <v>5000</v>
      </c>
      <c r="F93" s="124">
        <f>SUM(F94:F94)</f>
        <v>0</v>
      </c>
      <c r="G93" s="124">
        <f>SUM(G94:G94)</f>
        <v>0</v>
      </c>
      <c r="H93" s="124">
        <f>SUM(H94:H94)</f>
        <v>5000</v>
      </c>
    </row>
    <row r="94" spans="1:8" s="43" customFormat="1" ht="21.75" customHeight="1">
      <c r="A94" s="125"/>
      <c r="B94" s="126"/>
      <c r="C94" s="127" t="s">
        <v>240</v>
      </c>
      <c r="D94" s="132" t="s">
        <v>15</v>
      </c>
      <c r="E94" s="124">
        <v>5000</v>
      </c>
      <c r="F94" s="195"/>
      <c r="G94" s="195"/>
      <c r="H94" s="148">
        <f t="shared" si="2"/>
        <v>5000</v>
      </c>
    </row>
    <row r="95" spans="1:8" s="43" customFormat="1" ht="35.25" customHeight="1" hidden="1">
      <c r="A95" s="125"/>
      <c r="B95" s="126">
        <v>90020</v>
      </c>
      <c r="C95" s="127"/>
      <c r="D95" s="132" t="s">
        <v>355</v>
      </c>
      <c r="E95" s="124">
        <f>SUM(E96)</f>
        <v>0</v>
      </c>
      <c r="F95" s="124">
        <f>SUM(F96)</f>
        <v>0</v>
      </c>
      <c r="G95" s="124">
        <f>SUM(G96)</f>
        <v>0</v>
      </c>
      <c r="H95" s="124">
        <f>SUM(H96)</f>
        <v>0</v>
      </c>
    </row>
    <row r="96" spans="1:8" s="43" customFormat="1" ht="22.5" customHeight="1" hidden="1">
      <c r="A96" s="125"/>
      <c r="B96" s="126"/>
      <c r="C96" s="127" t="s">
        <v>352</v>
      </c>
      <c r="D96" s="132" t="s">
        <v>353</v>
      </c>
      <c r="E96" s="124">
        <v>0</v>
      </c>
      <c r="F96" s="148"/>
      <c r="G96" s="195"/>
      <c r="H96" s="148">
        <f t="shared" si="2"/>
        <v>0</v>
      </c>
    </row>
    <row r="97" spans="1:8" s="43" customFormat="1" ht="21.75" customHeight="1">
      <c r="A97" s="125"/>
      <c r="B97" s="126">
        <v>90095</v>
      </c>
      <c r="C97" s="127"/>
      <c r="D97" s="132" t="s">
        <v>6</v>
      </c>
      <c r="E97" s="124">
        <f>SUM(E98)</f>
        <v>6000</v>
      </c>
      <c r="F97" s="124">
        <f>SUM(F98)</f>
        <v>0</v>
      </c>
      <c r="G97" s="124">
        <f>SUM(G98)</f>
        <v>0</v>
      </c>
      <c r="H97" s="124">
        <f>SUM(H98)</f>
        <v>6000</v>
      </c>
    </row>
    <row r="98" spans="1:8" s="43" customFormat="1" ht="23.25" customHeight="1">
      <c r="A98" s="125"/>
      <c r="B98" s="126"/>
      <c r="C98" s="127" t="s">
        <v>258</v>
      </c>
      <c r="D98" s="132" t="s">
        <v>75</v>
      </c>
      <c r="E98" s="124">
        <v>6000</v>
      </c>
      <c r="F98" s="195"/>
      <c r="G98" s="195"/>
      <c r="H98" s="148">
        <f>SUM(E98+F98-G98)</f>
        <v>6000</v>
      </c>
    </row>
    <row r="99" spans="1:8" s="9" customFormat="1" ht="24.75" customHeight="1">
      <c r="A99" s="57" t="s">
        <v>76</v>
      </c>
      <c r="B99" s="4"/>
      <c r="C99" s="5"/>
      <c r="D99" s="58" t="s">
        <v>82</v>
      </c>
      <c r="E99" s="110">
        <f>SUM(E100,E102,E104)</f>
        <v>45000</v>
      </c>
      <c r="F99" s="110">
        <f>SUM(F100,F102,F104)</f>
        <v>0</v>
      </c>
      <c r="G99" s="110">
        <f>SUM(G100,G102,G104)</f>
        <v>0</v>
      </c>
      <c r="H99" s="110">
        <f>SUM(H100,H102,H104)</f>
        <v>45000</v>
      </c>
    </row>
    <row r="100" spans="1:8" s="43" customFormat="1" ht="24.75" customHeight="1" hidden="1">
      <c r="A100" s="210"/>
      <c r="B100" s="89">
        <v>92109</v>
      </c>
      <c r="C100" s="135"/>
      <c r="D100" s="68" t="s">
        <v>200</v>
      </c>
      <c r="E100" s="124">
        <f>SUM(E101)</f>
        <v>0</v>
      </c>
      <c r="F100" s="124">
        <f>SUM(F101)</f>
        <v>0</v>
      </c>
      <c r="G100" s="124">
        <f>SUM(G101)</f>
        <v>0</v>
      </c>
      <c r="H100" s="124">
        <f>SUM(H101)</f>
        <v>0</v>
      </c>
    </row>
    <row r="101" spans="1:8" s="43" customFormat="1" ht="45" hidden="1">
      <c r="A101" s="210"/>
      <c r="B101" s="89"/>
      <c r="C101" s="135">
        <v>2320</v>
      </c>
      <c r="D101" s="132" t="s">
        <v>356</v>
      </c>
      <c r="E101" s="124"/>
      <c r="F101" s="124"/>
      <c r="G101" s="124"/>
      <c r="H101" s="148">
        <f>SUM(E101+F101-G101)</f>
        <v>0</v>
      </c>
    </row>
    <row r="102" spans="1:8" s="43" customFormat="1" ht="21.75" customHeight="1">
      <c r="A102" s="125"/>
      <c r="B102" s="126" t="s">
        <v>77</v>
      </c>
      <c r="C102" s="135"/>
      <c r="D102" s="132" t="s">
        <v>78</v>
      </c>
      <c r="E102" s="124">
        <f>SUM(E103)</f>
        <v>45000</v>
      </c>
      <c r="F102" s="124">
        <f>SUM(F103)</f>
        <v>0</v>
      </c>
      <c r="G102" s="124">
        <f>SUM(G103)</f>
        <v>0</v>
      </c>
      <c r="H102" s="124">
        <f>SUM(H103)</f>
        <v>45000</v>
      </c>
    </row>
    <row r="103" spans="1:8" s="43" customFormat="1" ht="33.75">
      <c r="A103" s="126"/>
      <c r="B103" s="126"/>
      <c r="C103" s="127">
        <v>2320</v>
      </c>
      <c r="D103" s="132" t="s">
        <v>365</v>
      </c>
      <c r="E103" s="124">
        <v>45000</v>
      </c>
      <c r="F103" s="195"/>
      <c r="G103" s="195"/>
      <c r="H103" s="148">
        <f>SUM(E103+F103-G103)</f>
        <v>45000</v>
      </c>
    </row>
    <row r="104" spans="1:8" s="43" customFormat="1" ht="24" customHeight="1" hidden="1">
      <c r="A104" s="126"/>
      <c r="B104" s="126">
        <v>92118</v>
      </c>
      <c r="C104" s="127"/>
      <c r="D104" s="132" t="s">
        <v>163</v>
      </c>
      <c r="E104" s="124">
        <f>SUM(E105)</f>
        <v>0</v>
      </c>
      <c r="F104" s="124">
        <f>SUM(F105)</f>
        <v>0</v>
      </c>
      <c r="G104" s="124">
        <f>SUM(G105)</f>
        <v>0</v>
      </c>
      <c r="H104" s="124">
        <f>SUM(H105)</f>
        <v>0</v>
      </c>
    </row>
    <row r="105" spans="1:8" s="43" customFormat="1" ht="45" hidden="1">
      <c r="A105" s="126"/>
      <c r="B105" s="126"/>
      <c r="C105" s="127">
        <v>2320</v>
      </c>
      <c r="D105" s="132" t="s">
        <v>329</v>
      </c>
      <c r="E105" s="124"/>
      <c r="F105" s="195"/>
      <c r="G105" s="195"/>
      <c r="H105" s="148">
        <f>SUM(E105+F105-G105)</f>
        <v>0</v>
      </c>
    </row>
    <row r="106" spans="1:8" ht="26.25" customHeight="1">
      <c r="A106" s="24"/>
      <c r="B106" s="25"/>
      <c r="C106" s="26"/>
      <c r="D106" s="27" t="s">
        <v>81</v>
      </c>
      <c r="E106" s="110">
        <f>SUM(E9,E12,E15,E21,E27,E32,E38,E70,E79,E92,E99)</f>
        <v>40289741</v>
      </c>
      <c r="F106" s="110" t="e">
        <f>SUM(F9,F12,F15,F21,F27,F32,F38,F70,F79,F92,F99)</f>
        <v>#REF!</v>
      </c>
      <c r="G106" s="110" t="e">
        <f>SUM(G9,G12,G15,G21,G27,G32,G38,G70,G79,G92,G99)</f>
        <v>#REF!</v>
      </c>
      <c r="H106" s="110" t="e">
        <f>SUM(H9,H12,H15,H21,H27,H32,H38,H70,H79,H92,H99)</f>
        <v>#REF!</v>
      </c>
    </row>
    <row r="108" spans="4:7" ht="12.75">
      <c r="D108" s="191"/>
      <c r="G108" s="91"/>
    </row>
    <row r="109" spans="4:7" ht="12.75">
      <c r="D109" s="191"/>
      <c r="G109" s="91"/>
    </row>
    <row r="110" spans="4:7" ht="12.75">
      <c r="D110" s="191"/>
      <c r="G110" s="91"/>
    </row>
    <row r="111" spans="4:7" ht="12.75">
      <c r="D111" s="191"/>
      <c r="G111" s="177"/>
    </row>
    <row r="112" ht="12.75">
      <c r="D112" s="191"/>
    </row>
    <row r="113" ht="12.75">
      <c r="D113" s="191"/>
    </row>
    <row r="114" ht="12.75">
      <c r="D114" s="191"/>
    </row>
    <row r="115" ht="12.75">
      <c r="D115" s="191"/>
    </row>
    <row r="116" ht="12.75">
      <c r="D116" s="191"/>
    </row>
    <row r="117" spans="4:8" ht="12.75">
      <c r="D117" s="191"/>
      <c r="H117" s="91"/>
    </row>
    <row r="118" ht="12.75">
      <c r="D118" s="191"/>
    </row>
    <row r="119" ht="12.75">
      <c r="D119" s="191"/>
    </row>
    <row r="120" ht="12.75">
      <c r="D120" s="191"/>
    </row>
    <row r="121" ht="12.75">
      <c r="D121" s="190"/>
    </row>
    <row r="134" ht="12.75">
      <c r="E134" s="98"/>
    </row>
    <row r="135" ht="12.75">
      <c r="E135" s="98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8" sqref="E8"/>
    </sheetView>
  </sheetViews>
  <sheetFormatPr defaultColWidth="9.00390625" defaultRowHeight="12.75"/>
  <cols>
    <col min="1" max="1" width="7.00390625" style="9" customWidth="1"/>
    <col min="2" max="2" width="7.75390625" style="9" customWidth="1"/>
    <col min="3" max="3" width="5.625" style="9" customWidth="1"/>
    <col min="4" max="4" width="35.125" style="9" customWidth="1"/>
    <col min="5" max="5" width="17.00390625" style="0" customWidth="1"/>
    <col min="6" max="8" width="11.75390625" style="0" hidden="1" customWidth="1"/>
  </cols>
  <sheetData>
    <row r="1" spans="5:6" ht="12.75">
      <c r="E1" s="107" t="s">
        <v>288</v>
      </c>
      <c r="F1" s="107"/>
    </row>
    <row r="2" spans="5:6" ht="12.75">
      <c r="E2" s="107" t="s">
        <v>227</v>
      </c>
      <c r="F2" s="107"/>
    </row>
    <row r="3" spans="5:6" ht="12.75">
      <c r="E3" s="107" t="s">
        <v>192</v>
      </c>
      <c r="F3" s="107"/>
    </row>
    <row r="4" spans="5:6" ht="12.75">
      <c r="E4" s="107" t="s">
        <v>284</v>
      </c>
      <c r="F4" s="107"/>
    </row>
    <row r="5" spans="1:4" ht="62.25" customHeight="1">
      <c r="A5" s="411" t="s">
        <v>437</v>
      </c>
      <c r="B5" s="411"/>
      <c r="C5" s="411"/>
      <c r="D5" s="411"/>
    </row>
    <row r="6" spans="1:4" ht="14.25" customHeight="1">
      <c r="A6" s="231"/>
      <c r="B6" s="231"/>
      <c r="C6" s="231"/>
      <c r="D6" s="231"/>
    </row>
    <row r="7" spans="1:4" ht="32.25" customHeight="1">
      <c r="A7" s="412" t="s">
        <v>438</v>
      </c>
      <c r="B7" s="412"/>
      <c r="C7" s="412"/>
      <c r="D7" s="412"/>
    </row>
    <row r="8" spans="1:8" s="232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203" t="s">
        <v>165</v>
      </c>
      <c r="F8" s="2" t="s">
        <v>309</v>
      </c>
      <c r="G8" s="2" t="s">
        <v>310</v>
      </c>
      <c r="H8" s="203" t="s">
        <v>320</v>
      </c>
    </row>
    <row r="9" spans="1:8" s="49" customFormat="1" ht="43.5" customHeight="1">
      <c r="A9" s="2">
        <v>756</v>
      </c>
      <c r="B9" s="2"/>
      <c r="C9" s="2"/>
      <c r="D9" s="79" t="s">
        <v>33</v>
      </c>
      <c r="E9" s="59">
        <f aca="true" t="shared" si="0" ref="E9:H10">SUM(E10)</f>
        <v>280000</v>
      </c>
      <c r="F9" s="59">
        <f t="shared" si="0"/>
        <v>0</v>
      </c>
      <c r="G9" s="59">
        <f t="shared" si="0"/>
        <v>0</v>
      </c>
      <c r="H9" s="59">
        <f t="shared" si="0"/>
        <v>280000</v>
      </c>
    </row>
    <row r="10" spans="1:8" s="236" customFormat="1" ht="33.75">
      <c r="A10" s="101"/>
      <c r="B10" s="89">
        <v>75618</v>
      </c>
      <c r="C10" s="101"/>
      <c r="D10" s="80" t="s">
        <v>190</v>
      </c>
      <c r="E10" s="217">
        <f t="shared" si="0"/>
        <v>280000</v>
      </c>
      <c r="F10" s="217">
        <f t="shared" si="0"/>
        <v>0</v>
      </c>
      <c r="G10" s="217">
        <f t="shared" si="0"/>
        <v>0</v>
      </c>
      <c r="H10" s="217">
        <f t="shared" si="0"/>
        <v>280000</v>
      </c>
    </row>
    <row r="11" spans="1:8" s="236" customFormat="1" ht="28.5" customHeight="1">
      <c r="A11" s="101"/>
      <c r="B11" s="101"/>
      <c r="C11" s="237" t="s">
        <v>259</v>
      </c>
      <c r="D11" s="80" t="s">
        <v>66</v>
      </c>
      <c r="E11" s="217">
        <v>280000</v>
      </c>
      <c r="F11" s="217"/>
      <c r="G11" s="238"/>
      <c r="H11" s="217">
        <f>SUM(E11+F11-G11)</f>
        <v>280000</v>
      </c>
    </row>
    <row r="12" spans="1:8" s="1" customFormat="1" ht="21" customHeight="1">
      <c r="A12" s="78"/>
      <c r="B12" s="78"/>
      <c r="C12" s="78"/>
      <c r="D12" s="2" t="s">
        <v>81</v>
      </c>
      <c r="E12" s="59">
        <f>SUM(E9)</f>
        <v>280000</v>
      </c>
      <c r="F12" s="59">
        <f>SUM(F9)</f>
        <v>0</v>
      </c>
      <c r="G12" s="59">
        <f>SUM(G9)</f>
        <v>0</v>
      </c>
      <c r="H12" s="59">
        <f>SUM(H9)</f>
        <v>280000</v>
      </c>
    </row>
    <row r="13" spans="1:8" s="1" customFormat="1" ht="22.5" customHeight="1">
      <c r="A13" s="233"/>
      <c r="B13" s="233"/>
      <c r="C13" s="233"/>
      <c r="D13" s="234"/>
      <c r="E13" s="235"/>
      <c r="F13" s="235"/>
      <c r="G13" s="235"/>
      <c r="H13" s="235"/>
    </row>
    <row r="14" spans="1:4" ht="32.25" customHeight="1">
      <c r="A14" s="408" t="s">
        <v>439</v>
      </c>
      <c r="B14" s="408"/>
      <c r="C14" s="408"/>
      <c r="D14" s="408"/>
    </row>
    <row r="15" spans="1:8" s="244" customFormat="1" ht="23.25" customHeight="1">
      <c r="A15" s="2" t="s">
        <v>0</v>
      </c>
      <c r="B15" s="2" t="s">
        <v>1</v>
      </c>
      <c r="C15" s="2" t="s">
        <v>2</v>
      </c>
      <c r="D15" s="2" t="s">
        <v>3</v>
      </c>
      <c r="E15" s="203" t="s">
        <v>165</v>
      </c>
      <c r="F15" s="2" t="s">
        <v>309</v>
      </c>
      <c r="G15" s="2" t="s">
        <v>310</v>
      </c>
      <c r="H15" s="203" t="s">
        <v>320</v>
      </c>
    </row>
    <row r="16" spans="1:8" s="282" customFormat="1" ht="23.25" customHeight="1">
      <c r="A16" s="2">
        <v>851</v>
      </c>
      <c r="B16" s="2"/>
      <c r="C16" s="2"/>
      <c r="D16" s="283" t="s">
        <v>427</v>
      </c>
      <c r="E16" s="284">
        <f>E17</f>
        <v>76829</v>
      </c>
      <c r="F16" s="284">
        <f>F17</f>
        <v>0</v>
      </c>
      <c r="G16" s="284">
        <f>G17</f>
        <v>0</v>
      </c>
      <c r="H16" s="284">
        <f>H17</f>
        <v>76829</v>
      </c>
    </row>
    <row r="17" spans="1:8" s="43" customFormat="1" ht="21.75" customHeight="1">
      <c r="A17" s="126"/>
      <c r="B17" s="126" t="s">
        <v>137</v>
      </c>
      <c r="C17" s="89"/>
      <c r="D17" s="23" t="s">
        <v>65</v>
      </c>
      <c r="E17" s="141">
        <f>SUM(E18:E20)</f>
        <v>76829</v>
      </c>
      <c r="F17" s="141">
        <f>SUM(F18:F20)</f>
        <v>0</v>
      </c>
      <c r="G17" s="141">
        <f>SUM(G18:G20)</f>
        <v>0</v>
      </c>
      <c r="H17" s="141">
        <f>SUM(H18:H20)</f>
        <v>76829</v>
      </c>
    </row>
    <row r="18" spans="1:8" s="43" customFormat="1" ht="21.75" customHeight="1">
      <c r="A18" s="126"/>
      <c r="B18" s="89"/>
      <c r="C18" s="89">
        <v>3030</v>
      </c>
      <c r="D18" s="23" t="s">
        <v>103</v>
      </c>
      <c r="E18" s="148">
        <v>15000</v>
      </c>
      <c r="F18" s="148"/>
      <c r="G18" s="148"/>
      <c r="H18" s="148">
        <f>SUM(E18+F18-G18)</f>
        <v>15000</v>
      </c>
    </row>
    <row r="19" spans="1:8" s="43" customFormat="1" ht="21.75" customHeight="1">
      <c r="A19" s="126"/>
      <c r="B19" s="89"/>
      <c r="C19" s="89">
        <v>4300</v>
      </c>
      <c r="D19" s="23" t="s">
        <v>93</v>
      </c>
      <c r="E19" s="148">
        <v>38720</v>
      </c>
      <c r="F19" s="148"/>
      <c r="G19" s="148"/>
      <c r="H19" s="148">
        <f>SUM(E19+F19-G19)</f>
        <v>38720</v>
      </c>
    </row>
    <row r="20" spans="1:8" s="43" customFormat="1" ht="22.5">
      <c r="A20" s="126"/>
      <c r="B20" s="89"/>
      <c r="C20" s="89">
        <v>6060</v>
      </c>
      <c r="D20" s="68" t="s">
        <v>110</v>
      </c>
      <c r="E20" s="148">
        <v>23109</v>
      </c>
      <c r="F20" s="148"/>
      <c r="G20" s="148"/>
      <c r="H20" s="148">
        <f>SUM(E20+F20-G20)</f>
        <v>23109</v>
      </c>
    </row>
    <row r="21" spans="1:8" s="9" customFormat="1" ht="21.75" customHeight="1">
      <c r="A21" s="60">
        <v>852</v>
      </c>
      <c r="B21" s="6"/>
      <c r="C21" s="6"/>
      <c r="D21" s="36" t="s">
        <v>280</v>
      </c>
      <c r="E21" s="29">
        <f>SUM(E24,E22)</f>
        <v>88171</v>
      </c>
      <c r="F21" s="29">
        <f>SUM(F24,F22)</f>
        <v>0</v>
      </c>
      <c r="G21" s="29">
        <f>SUM(G24,G22)</f>
        <v>0</v>
      </c>
      <c r="H21" s="29">
        <f>SUM(H24,H22)</f>
        <v>88171</v>
      </c>
    </row>
    <row r="22" spans="1:8" s="43" customFormat="1" ht="22.5">
      <c r="A22" s="126"/>
      <c r="B22" s="126">
        <v>85214</v>
      </c>
      <c r="C22" s="89"/>
      <c r="D22" s="23" t="s">
        <v>344</v>
      </c>
      <c r="E22" s="148">
        <f>SUM(E23)</f>
        <v>3000</v>
      </c>
      <c r="F22" s="148">
        <f>SUM(F23)</f>
        <v>0</v>
      </c>
      <c r="G22" s="148">
        <f>SUM(G23)</f>
        <v>0</v>
      </c>
      <c r="H22" s="148">
        <f>SUM(H23)</f>
        <v>3000</v>
      </c>
    </row>
    <row r="23" spans="1:8" s="43" customFormat="1" ht="21.75" customHeight="1">
      <c r="A23" s="126"/>
      <c r="B23" s="126"/>
      <c r="C23" s="89">
        <v>3110</v>
      </c>
      <c r="D23" s="23" t="s">
        <v>129</v>
      </c>
      <c r="E23" s="148">
        <v>3000</v>
      </c>
      <c r="F23" s="148"/>
      <c r="G23" s="148"/>
      <c r="H23" s="148">
        <f>SUM(E23+F23-G23)</f>
        <v>3000</v>
      </c>
    </row>
    <row r="24" spans="1:8" s="43" customFormat="1" ht="21.75" customHeight="1">
      <c r="A24" s="126"/>
      <c r="B24" s="126">
        <v>85219</v>
      </c>
      <c r="C24" s="89"/>
      <c r="D24" s="68" t="s">
        <v>70</v>
      </c>
      <c r="E24" s="141">
        <f>SUM(E25:E33)</f>
        <v>85171</v>
      </c>
      <c r="F24" s="141"/>
      <c r="G24" s="141">
        <f>SUM(G25:G33)</f>
        <v>0</v>
      </c>
      <c r="H24" s="141">
        <f>SUM(H25:H33)</f>
        <v>85171</v>
      </c>
    </row>
    <row r="25" spans="1:8" s="43" customFormat="1" ht="21.75" customHeight="1">
      <c r="A25" s="126"/>
      <c r="B25" s="126"/>
      <c r="C25" s="142">
        <v>4010</v>
      </c>
      <c r="D25" s="68" t="s">
        <v>98</v>
      </c>
      <c r="E25" s="148">
        <v>16542</v>
      </c>
      <c r="F25" s="148"/>
      <c r="G25" s="148"/>
      <c r="H25" s="148">
        <f>SUM(E25+F25-G25)</f>
        <v>16542</v>
      </c>
    </row>
    <row r="26" spans="1:8" s="43" customFormat="1" ht="21.75" customHeight="1">
      <c r="A26" s="126"/>
      <c r="B26" s="126"/>
      <c r="C26" s="142">
        <v>4040</v>
      </c>
      <c r="D26" s="68" t="s">
        <v>99</v>
      </c>
      <c r="E26" s="148">
        <v>1330</v>
      </c>
      <c r="F26" s="148"/>
      <c r="G26" s="148"/>
      <c r="H26" s="148">
        <f aca="true" t="shared" si="1" ref="H26:H33">SUM(E26+F26-G26)</f>
        <v>1330</v>
      </c>
    </row>
    <row r="27" spans="1:8" s="43" customFormat="1" ht="21.75" customHeight="1">
      <c r="A27" s="126"/>
      <c r="B27" s="126"/>
      <c r="C27" s="142">
        <v>4110</v>
      </c>
      <c r="D27" s="68" t="s">
        <v>100</v>
      </c>
      <c r="E27" s="148">
        <v>3169</v>
      </c>
      <c r="F27" s="148"/>
      <c r="G27" s="148"/>
      <c r="H27" s="148">
        <f t="shared" si="1"/>
        <v>3169</v>
      </c>
    </row>
    <row r="28" spans="1:8" s="43" customFormat="1" ht="21.75" customHeight="1">
      <c r="A28" s="126"/>
      <c r="B28" s="126"/>
      <c r="C28" s="142">
        <v>4120</v>
      </c>
      <c r="D28" s="68" t="s">
        <v>101</v>
      </c>
      <c r="E28" s="148">
        <v>438</v>
      </c>
      <c r="F28" s="148"/>
      <c r="G28" s="148"/>
      <c r="H28" s="148">
        <f t="shared" si="1"/>
        <v>438</v>
      </c>
    </row>
    <row r="29" spans="1:8" s="43" customFormat="1" ht="21.75" customHeight="1">
      <c r="A29" s="126"/>
      <c r="B29" s="126"/>
      <c r="C29" s="142">
        <v>4170</v>
      </c>
      <c r="D29" s="68" t="s">
        <v>293</v>
      </c>
      <c r="E29" s="148">
        <v>13200</v>
      </c>
      <c r="F29" s="148"/>
      <c r="G29" s="148"/>
      <c r="H29" s="148">
        <f t="shared" si="1"/>
        <v>13200</v>
      </c>
    </row>
    <row r="30" spans="1:8" s="43" customFormat="1" ht="21.75" customHeight="1">
      <c r="A30" s="126"/>
      <c r="B30" s="126"/>
      <c r="C30" s="142">
        <v>4210</v>
      </c>
      <c r="D30" s="23" t="s">
        <v>106</v>
      </c>
      <c r="E30" s="148">
        <v>7300</v>
      </c>
      <c r="F30" s="148"/>
      <c r="G30" s="148"/>
      <c r="H30" s="148">
        <f t="shared" si="1"/>
        <v>7300</v>
      </c>
    </row>
    <row r="31" spans="1:8" s="43" customFormat="1" ht="21.75" customHeight="1">
      <c r="A31" s="126"/>
      <c r="B31" s="126"/>
      <c r="C31" s="142">
        <v>4300</v>
      </c>
      <c r="D31" s="23" t="s">
        <v>93</v>
      </c>
      <c r="E31" s="148">
        <v>41747</v>
      </c>
      <c r="F31" s="148"/>
      <c r="G31" s="148"/>
      <c r="H31" s="148">
        <f t="shared" si="1"/>
        <v>41747</v>
      </c>
    </row>
    <row r="32" spans="1:8" s="43" customFormat="1" ht="21.75" customHeight="1">
      <c r="A32" s="126"/>
      <c r="B32" s="126"/>
      <c r="C32" s="142">
        <v>4410</v>
      </c>
      <c r="D32" s="68" t="s">
        <v>104</v>
      </c>
      <c r="E32" s="148">
        <v>700</v>
      </c>
      <c r="F32" s="148"/>
      <c r="G32" s="148"/>
      <c r="H32" s="148">
        <f t="shared" si="1"/>
        <v>700</v>
      </c>
    </row>
    <row r="33" spans="1:8" s="43" customFormat="1" ht="26.25" customHeight="1">
      <c r="A33" s="126"/>
      <c r="B33" s="126"/>
      <c r="C33" s="142">
        <v>4440</v>
      </c>
      <c r="D33" s="68" t="s">
        <v>102</v>
      </c>
      <c r="E33" s="148">
        <v>745</v>
      </c>
      <c r="F33" s="148"/>
      <c r="G33" s="148"/>
      <c r="H33" s="148">
        <f t="shared" si="1"/>
        <v>745</v>
      </c>
    </row>
    <row r="34" spans="1:8" s="9" customFormat="1" ht="24.75" customHeight="1">
      <c r="A34" s="60" t="s">
        <v>140</v>
      </c>
      <c r="B34" s="6"/>
      <c r="C34" s="6"/>
      <c r="D34" s="36" t="s">
        <v>71</v>
      </c>
      <c r="E34" s="29">
        <f>SUM(E35)</f>
        <v>105000</v>
      </c>
      <c r="F34" s="29">
        <f>SUM(F35)</f>
        <v>0</v>
      </c>
      <c r="G34" s="29">
        <f>SUM(G35)</f>
        <v>0</v>
      </c>
      <c r="H34" s="29">
        <f>SUM(H35)</f>
        <v>105000</v>
      </c>
    </row>
    <row r="35" spans="1:8" s="43" customFormat="1" ht="22.5">
      <c r="A35" s="126"/>
      <c r="B35" s="126" t="s">
        <v>144</v>
      </c>
      <c r="C35" s="89"/>
      <c r="D35" s="23" t="s">
        <v>145</v>
      </c>
      <c r="E35" s="141">
        <f>SUM(E36:E37)</f>
        <v>105000</v>
      </c>
      <c r="F35" s="141">
        <f>SUM(F36:F37)</f>
        <v>0</v>
      </c>
      <c r="G35" s="141">
        <f>SUM(G36:G37)</f>
        <v>0</v>
      </c>
      <c r="H35" s="141">
        <f>SUM(H36:H37)</f>
        <v>105000</v>
      </c>
    </row>
    <row r="36" spans="1:8" s="43" customFormat="1" ht="21" customHeight="1">
      <c r="A36" s="126"/>
      <c r="B36" s="126"/>
      <c r="C36" s="89">
        <v>4210</v>
      </c>
      <c r="D36" s="23" t="s">
        <v>106</v>
      </c>
      <c r="E36" s="148">
        <v>5500</v>
      </c>
      <c r="F36" s="148"/>
      <c r="G36" s="148"/>
      <c r="H36" s="148">
        <f>SUM(E36+F36-G36)</f>
        <v>5500</v>
      </c>
    </row>
    <row r="37" spans="1:8" s="43" customFormat="1" ht="21.75" customHeight="1">
      <c r="A37" s="89"/>
      <c r="B37" s="89"/>
      <c r="C37" s="89">
        <v>4300</v>
      </c>
      <c r="D37" s="23" t="s">
        <v>93</v>
      </c>
      <c r="E37" s="148">
        <v>99500</v>
      </c>
      <c r="F37" s="148"/>
      <c r="G37" s="148"/>
      <c r="H37" s="148">
        <f>SUM(E37+F37-G37)</f>
        <v>99500</v>
      </c>
    </row>
    <row r="38" spans="1:8" s="9" customFormat="1" ht="21.75" customHeight="1">
      <c r="A38" s="60" t="s">
        <v>164</v>
      </c>
      <c r="B38" s="6"/>
      <c r="C38" s="6"/>
      <c r="D38" s="36" t="s">
        <v>79</v>
      </c>
      <c r="E38" s="29">
        <f>E39</f>
        <v>10000</v>
      </c>
      <c r="F38" s="29">
        <f>F39</f>
        <v>0</v>
      </c>
      <c r="G38" s="29">
        <f>G39</f>
        <v>0</v>
      </c>
      <c r="H38" s="29">
        <f>H39</f>
        <v>10000</v>
      </c>
    </row>
    <row r="39" spans="1:8" s="43" customFormat="1" ht="24" customHeight="1">
      <c r="A39" s="89"/>
      <c r="B39" s="137">
        <v>92605</v>
      </c>
      <c r="C39" s="89"/>
      <c r="D39" s="23" t="s">
        <v>80</v>
      </c>
      <c r="E39" s="148">
        <f>SUM(E40:E40)</f>
        <v>10000</v>
      </c>
      <c r="F39" s="148">
        <f>SUM(F40:F40)</f>
        <v>0</v>
      </c>
      <c r="G39" s="148">
        <f>SUM(G40:G40)</f>
        <v>0</v>
      </c>
      <c r="H39" s="148">
        <f>SUM(H40:H40)</f>
        <v>10000</v>
      </c>
    </row>
    <row r="40" spans="1:8" s="43" customFormat="1" ht="21.75" customHeight="1">
      <c r="A40" s="89"/>
      <c r="B40" s="137"/>
      <c r="C40" s="89">
        <v>4300</v>
      </c>
      <c r="D40" s="23" t="s">
        <v>93</v>
      </c>
      <c r="E40" s="148">
        <v>10000</v>
      </c>
      <c r="F40" s="148"/>
      <c r="G40" s="148"/>
      <c r="H40" s="148">
        <f>SUM(E40+F40-G40)</f>
        <v>10000</v>
      </c>
    </row>
    <row r="41" spans="1:8" s="72" customFormat="1" ht="22.5" customHeight="1">
      <c r="A41" s="239"/>
      <c r="B41" s="239"/>
      <c r="C41" s="239"/>
      <c r="D41" s="7" t="s">
        <v>81</v>
      </c>
      <c r="E41" s="29">
        <f>E21+E16+E34+E38</f>
        <v>280000</v>
      </c>
      <c r="F41" s="29">
        <f>F21+F17+F34+F38</f>
        <v>0</v>
      </c>
      <c r="G41" s="29">
        <f>G21+G17+G34+G38</f>
        <v>0</v>
      </c>
      <c r="H41" s="29">
        <f>H21+H17+H34+H38</f>
        <v>280000</v>
      </c>
    </row>
    <row r="44" ht="12.75">
      <c r="G44" s="91"/>
    </row>
  </sheetData>
  <mergeCells count="3">
    <mergeCell ref="A5:D5"/>
    <mergeCell ref="A7:D7"/>
    <mergeCell ref="A14:D1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22" sqref="B22"/>
    </sheetView>
  </sheetViews>
  <sheetFormatPr defaultColWidth="9.00390625" defaultRowHeight="12.75"/>
  <cols>
    <col min="1" max="1" width="5.125" style="43" customWidth="1"/>
    <col min="2" max="2" width="43.25390625" style="43" customWidth="1"/>
    <col min="3" max="4" width="10.00390625" style="43" hidden="1" customWidth="1"/>
    <col min="5" max="5" width="9.75390625" style="43" hidden="1" customWidth="1"/>
    <col min="6" max="6" width="9.25390625" style="43" hidden="1" customWidth="1"/>
    <col min="7" max="8" width="11.25390625" style="43" hidden="1" customWidth="1"/>
    <col min="9" max="9" width="13.625" style="43" hidden="1" customWidth="1"/>
    <col min="10" max="10" width="5.75390625" style="43" hidden="1" customWidth="1"/>
    <col min="11" max="12" width="19.875" style="43" customWidth="1"/>
    <col min="13" max="13" width="13.625" style="43" hidden="1" customWidth="1"/>
    <col min="14" max="14" width="12.875" style="43" hidden="1" customWidth="1"/>
    <col min="15" max="15" width="12.375" style="43" hidden="1" customWidth="1"/>
    <col min="16" max="16" width="11.25390625" style="43" hidden="1" customWidth="1"/>
  </cols>
  <sheetData>
    <row r="1" spans="3:16" ht="12.75">
      <c r="C1" s="107"/>
      <c r="G1" s="200" t="s">
        <v>339</v>
      </c>
      <c r="H1" s="107"/>
      <c r="I1" s="107"/>
      <c r="J1" s="200"/>
      <c r="K1" s="200"/>
      <c r="L1" s="107" t="s">
        <v>418</v>
      </c>
      <c r="M1" s="107"/>
      <c r="N1" s="200"/>
      <c r="O1" s="200"/>
      <c r="P1" s="200"/>
    </row>
    <row r="2" spans="3:16" ht="12.75">
      <c r="C2" s="107"/>
      <c r="G2" s="200" t="s">
        <v>338</v>
      </c>
      <c r="H2" s="107"/>
      <c r="I2" s="107"/>
      <c r="J2" s="200"/>
      <c r="K2" s="200"/>
      <c r="L2" s="107" t="s">
        <v>227</v>
      </c>
      <c r="M2" s="107"/>
      <c r="N2" s="200"/>
      <c r="O2" s="200"/>
      <c r="P2" s="200"/>
    </row>
    <row r="3" spans="3:16" ht="12.75">
      <c r="C3" s="107"/>
      <c r="G3" s="200" t="s">
        <v>327</v>
      </c>
      <c r="H3" s="107"/>
      <c r="I3" s="107"/>
      <c r="J3" s="200"/>
      <c r="K3" s="200"/>
      <c r="L3" s="107" t="s">
        <v>192</v>
      </c>
      <c r="M3" s="107"/>
      <c r="N3" s="200"/>
      <c r="O3" s="200"/>
      <c r="P3" s="200"/>
    </row>
    <row r="4" spans="3:16" ht="12.75">
      <c r="C4" s="107"/>
      <c r="G4" s="200" t="s">
        <v>328</v>
      </c>
      <c r="H4" s="107"/>
      <c r="I4" s="107"/>
      <c r="J4" s="200"/>
      <c r="K4" s="200"/>
      <c r="L4" s="107" t="s">
        <v>284</v>
      </c>
      <c r="M4" s="107"/>
      <c r="N4" s="200"/>
      <c r="O4" s="200"/>
      <c r="P4" s="200"/>
    </row>
    <row r="5" spans="3:16" ht="12.75">
      <c r="C5" s="107"/>
      <c r="G5" s="200"/>
      <c r="H5" s="107"/>
      <c r="I5" s="107"/>
      <c r="J5" s="200"/>
      <c r="K5" s="200"/>
      <c r="L5" s="107"/>
      <c r="M5" s="107"/>
      <c r="N5" s="200"/>
      <c r="O5" s="200"/>
      <c r="P5" s="200"/>
    </row>
    <row r="6" spans="1:3" s="56" customFormat="1" ht="21.75" customHeight="1">
      <c r="A6" s="417" t="s">
        <v>414</v>
      </c>
      <c r="B6" s="417"/>
      <c r="C6" s="417"/>
    </row>
    <row r="7" spans="1:3" s="56" customFormat="1" ht="12" customHeight="1">
      <c r="A7" s="213"/>
      <c r="B7" s="213"/>
      <c r="C7" s="213"/>
    </row>
    <row r="8" spans="1:16" s="9" customFormat="1" ht="20.25" customHeight="1">
      <c r="A8" s="399" t="s">
        <v>2</v>
      </c>
      <c r="B8" s="399" t="s">
        <v>3</v>
      </c>
      <c r="C8" s="415" t="s">
        <v>168</v>
      </c>
      <c r="D8" s="415"/>
      <c r="E8" s="415" t="s">
        <v>314</v>
      </c>
      <c r="F8" s="415"/>
      <c r="G8" s="415" t="s">
        <v>165</v>
      </c>
      <c r="H8" s="415"/>
      <c r="I8" s="415" t="s">
        <v>314</v>
      </c>
      <c r="J8" s="415"/>
      <c r="K8" s="399" t="s">
        <v>168</v>
      </c>
      <c r="L8" s="399"/>
      <c r="M8" s="415" t="s">
        <v>314</v>
      </c>
      <c r="N8" s="415"/>
      <c r="O8" s="415" t="s">
        <v>326</v>
      </c>
      <c r="P8" s="415"/>
    </row>
    <row r="9" spans="1:16" s="9" customFormat="1" ht="21" customHeight="1">
      <c r="A9" s="399"/>
      <c r="B9" s="399"/>
      <c r="C9" s="214" t="s">
        <v>169</v>
      </c>
      <c r="D9" s="214" t="s">
        <v>170</v>
      </c>
      <c r="E9" s="214" t="s">
        <v>169</v>
      </c>
      <c r="F9" s="214" t="s">
        <v>170</v>
      </c>
      <c r="G9" s="214" t="s">
        <v>169</v>
      </c>
      <c r="H9" s="214" t="s">
        <v>170</v>
      </c>
      <c r="I9" s="214" t="s">
        <v>169</v>
      </c>
      <c r="J9" s="214" t="s">
        <v>170</v>
      </c>
      <c r="K9" s="214" t="s">
        <v>169</v>
      </c>
      <c r="L9" s="214" t="s">
        <v>170</v>
      </c>
      <c r="M9" s="214" t="s">
        <v>169</v>
      </c>
      <c r="N9" s="214" t="s">
        <v>170</v>
      </c>
      <c r="O9" s="214" t="s">
        <v>169</v>
      </c>
      <c r="P9" s="214" t="s">
        <v>170</v>
      </c>
    </row>
    <row r="10" spans="1:16" s="9" customFormat="1" ht="49.5" customHeight="1">
      <c r="A10" s="2">
        <v>903</v>
      </c>
      <c r="B10" s="79" t="s">
        <v>345</v>
      </c>
      <c r="C10" s="214"/>
      <c r="D10" s="214"/>
      <c r="E10" s="214"/>
      <c r="F10" s="214"/>
      <c r="G10" s="214"/>
      <c r="H10" s="214"/>
      <c r="I10" s="214"/>
      <c r="J10" s="214"/>
      <c r="K10" s="35">
        <v>5717636</v>
      </c>
      <c r="L10" s="35">
        <v>0</v>
      </c>
      <c r="M10" s="35"/>
      <c r="N10" s="35"/>
      <c r="O10" s="13"/>
      <c r="P10" s="13"/>
    </row>
    <row r="11" spans="1:16" s="9" customFormat="1" ht="49.5" customHeight="1">
      <c r="A11" s="2">
        <v>952</v>
      </c>
      <c r="B11" s="79" t="s">
        <v>193</v>
      </c>
      <c r="C11" s="13">
        <v>5000000</v>
      </c>
      <c r="D11" s="13">
        <v>0</v>
      </c>
      <c r="E11" s="215">
        <f>452400+50000</f>
        <v>502400</v>
      </c>
      <c r="F11" s="215">
        <v>0</v>
      </c>
      <c r="G11" s="13">
        <f aca="true" t="shared" si="0" ref="G11:H13">SUM(C11+E11)</f>
        <v>5502400</v>
      </c>
      <c r="H11" s="13">
        <f t="shared" si="0"/>
        <v>0</v>
      </c>
      <c r="I11" s="13">
        <v>-53720</v>
      </c>
      <c r="J11" s="13">
        <f>SUM(F11+H11)</f>
        <v>0</v>
      </c>
      <c r="K11" s="13">
        <f>2713000+3391011+15000</f>
        <v>6119011</v>
      </c>
      <c r="L11" s="13">
        <v>0</v>
      </c>
      <c r="M11" s="13"/>
      <c r="N11" s="13"/>
      <c r="O11" s="13"/>
      <c r="P11" s="13"/>
    </row>
    <row r="12" spans="1:16" s="9" customFormat="1" ht="49.5" customHeight="1">
      <c r="A12" s="2">
        <v>982</v>
      </c>
      <c r="B12" s="79" t="s">
        <v>315</v>
      </c>
      <c r="C12" s="13"/>
      <c r="D12" s="13"/>
      <c r="E12" s="13"/>
      <c r="F12" s="13">
        <v>800000</v>
      </c>
      <c r="G12" s="13">
        <f t="shared" si="0"/>
        <v>0</v>
      </c>
      <c r="H12" s="13">
        <f t="shared" si="0"/>
        <v>800000</v>
      </c>
      <c r="I12" s="13">
        <f>SUM(E12+G12)</f>
        <v>0</v>
      </c>
      <c r="J12" s="13">
        <v>0</v>
      </c>
      <c r="K12" s="13">
        <f>SUM(G12+I12)</f>
        <v>0</v>
      </c>
      <c r="L12" s="13">
        <v>1850000</v>
      </c>
      <c r="M12" s="13"/>
      <c r="N12" s="13"/>
      <c r="O12" s="13"/>
      <c r="P12" s="13"/>
    </row>
    <row r="13" spans="1:16" s="9" customFormat="1" ht="49.5" customHeight="1">
      <c r="A13" s="2">
        <v>992</v>
      </c>
      <c r="B13" s="79" t="s">
        <v>172</v>
      </c>
      <c r="C13" s="13">
        <v>0</v>
      </c>
      <c r="D13" s="13">
        <v>3938785</v>
      </c>
      <c r="E13" s="13">
        <v>0</v>
      </c>
      <c r="F13" s="13">
        <v>-800000</v>
      </c>
      <c r="G13" s="13">
        <f t="shared" si="0"/>
        <v>0</v>
      </c>
      <c r="H13" s="13">
        <f t="shared" si="0"/>
        <v>3138785</v>
      </c>
      <c r="I13" s="13">
        <f>SUM(E13+G13)</f>
        <v>0</v>
      </c>
      <c r="J13" s="13">
        <v>0</v>
      </c>
      <c r="K13" s="13">
        <f>SUM(G13+I13)</f>
        <v>0</v>
      </c>
      <c r="L13" s="13">
        <v>2806515</v>
      </c>
      <c r="M13" s="13"/>
      <c r="N13" s="13"/>
      <c r="O13" s="13"/>
      <c r="P13" s="13"/>
    </row>
    <row r="14" spans="2:16" s="9" customFormat="1" ht="30" customHeight="1">
      <c r="B14" s="2" t="s">
        <v>81</v>
      </c>
      <c r="C14" s="416">
        <f>SUM(C11:C13)-SUM(D11:D13)</f>
        <v>1061215</v>
      </c>
      <c r="D14" s="416"/>
      <c r="E14" s="416">
        <f>SUM(E11:E13)-SUM(F11:F13)</f>
        <v>502400</v>
      </c>
      <c r="F14" s="416"/>
      <c r="G14" s="416">
        <f>SUM(G11:G13)-SUM(H11:H13)</f>
        <v>1563615</v>
      </c>
      <c r="H14" s="416"/>
      <c r="I14" s="416">
        <f>SUM(I11:I13)-SUM(J11:J13)</f>
        <v>-53720</v>
      </c>
      <c r="J14" s="416"/>
      <c r="K14" s="34">
        <f>K10+K11+K12+K13</f>
        <v>11836647</v>
      </c>
      <c r="L14" s="34">
        <f>L10+L11+L12+L13</f>
        <v>4656515</v>
      </c>
      <c r="M14" s="416"/>
      <c r="N14" s="416"/>
      <c r="O14" s="416"/>
      <c r="P14" s="416"/>
    </row>
    <row r="15" spans="2:12" ht="30" customHeight="1">
      <c r="B15" s="2" t="s">
        <v>171</v>
      </c>
      <c r="C15" s="101"/>
      <c r="D15" s="101"/>
      <c r="E15" s="101"/>
      <c r="F15" s="101"/>
      <c r="G15" s="101"/>
      <c r="H15" s="101"/>
      <c r="I15" s="101"/>
      <c r="J15" s="101"/>
      <c r="K15" s="413">
        <f>K14-L14</f>
        <v>7180132</v>
      </c>
      <c r="L15" s="414"/>
    </row>
    <row r="18" spans="11:12" ht="12.75">
      <c r="K18" s="251"/>
      <c r="L18" s="251" t="s">
        <v>432</v>
      </c>
    </row>
    <row r="19" ht="12.75">
      <c r="K19" s="251"/>
    </row>
    <row r="20" ht="12.75">
      <c r="K20" s="251"/>
    </row>
    <row r="21" ht="12.75">
      <c r="K21" s="251"/>
    </row>
    <row r="22" ht="12.75">
      <c r="K22" s="251"/>
    </row>
    <row r="23" spans="11:12" ht="12.75">
      <c r="K23" s="251"/>
      <c r="L23" s="251"/>
    </row>
    <row r="24" spans="11:12" ht="12.75">
      <c r="K24" s="251"/>
      <c r="L24" s="251"/>
    </row>
    <row r="25" spans="11:12" ht="12.75">
      <c r="K25" s="251"/>
      <c r="L25" s="251"/>
    </row>
    <row r="26" spans="11:12" ht="12.75">
      <c r="K26" s="251"/>
      <c r="L26" s="251"/>
    </row>
    <row r="27" spans="11:12" ht="12.75">
      <c r="K27" s="251"/>
      <c r="L27" s="251"/>
    </row>
    <row r="28" spans="11:12" ht="12.75">
      <c r="K28" s="251"/>
      <c r="L28" s="251"/>
    </row>
    <row r="29" spans="11:12" ht="12.75">
      <c r="K29" s="251"/>
      <c r="L29" s="251"/>
    </row>
    <row r="30" spans="11:12" ht="12.75">
      <c r="K30" s="251"/>
      <c r="L30" s="251"/>
    </row>
    <row r="31" spans="11:12" ht="12.75">
      <c r="K31" s="251"/>
      <c r="L31" s="251"/>
    </row>
    <row r="32" spans="11:12" ht="12.75">
      <c r="K32" s="251"/>
      <c r="L32" s="251"/>
    </row>
    <row r="33" spans="11:12" ht="12.75">
      <c r="K33" s="251"/>
      <c r="L33" s="251"/>
    </row>
    <row r="34" spans="11:12" ht="12.75">
      <c r="K34" s="251"/>
      <c r="L34" s="251"/>
    </row>
    <row r="35" spans="11:12" ht="12.75">
      <c r="K35" s="251"/>
      <c r="L35" s="251"/>
    </row>
    <row r="36" spans="11:12" ht="12.75">
      <c r="K36" s="251"/>
      <c r="L36" s="251"/>
    </row>
    <row r="37" spans="11:12" ht="12.75">
      <c r="K37" s="251"/>
      <c r="L37" s="251"/>
    </row>
    <row r="38" spans="11:12" ht="12.75">
      <c r="K38" s="251"/>
      <c r="L38" s="251"/>
    </row>
    <row r="39" spans="11:12" ht="12.75">
      <c r="K39" s="251"/>
      <c r="L39" s="251"/>
    </row>
    <row r="40" ht="12.75">
      <c r="L40" s="251"/>
    </row>
  </sheetData>
  <mergeCells count="17">
    <mergeCell ref="A6:C6"/>
    <mergeCell ref="A8:A9"/>
    <mergeCell ref="B8:B9"/>
    <mergeCell ref="C8:D8"/>
    <mergeCell ref="I8:J8"/>
    <mergeCell ref="I14:J14"/>
    <mergeCell ref="K8:L8"/>
    <mergeCell ref="C14:D14"/>
    <mergeCell ref="E8:F8"/>
    <mergeCell ref="E14:F14"/>
    <mergeCell ref="G8:H8"/>
    <mergeCell ref="G14:H14"/>
    <mergeCell ref="K15:L15"/>
    <mergeCell ref="M8:N8"/>
    <mergeCell ref="O8:P8"/>
    <mergeCell ref="M14:N14"/>
    <mergeCell ref="O14:P14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13" sqref="E13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3.0039062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200"/>
      <c r="J1" s="107" t="s">
        <v>440</v>
      </c>
    </row>
    <row r="2" spans="9:10" ht="12.75">
      <c r="I2" s="200"/>
      <c r="J2" s="107" t="s">
        <v>227</v>
      </c>
    </row>
    <row r="3" spans="9:10" ht="12.75">
      <c r="I3" s="200"/>
      <c r="J3" s="107" t="s">
        <v>192</v>
      </c>
    </row>
    <row r="4" spans="9:10" ht="12.75">
      <c r="I4" s="200"/>
      <c r="J4" s="107" t="s">
        <v>284</v>
      </c>
    </row>
    <row r="6" spans="1:12" ht="26.25" customHeight="1">
      <c r="A6" s="407" t="s">
        <v>462</v>
      </c>
      <c r="B6" s="407"/>
      <c r="C6" s="407"/>
      <c r="D6" s="407"/>
      <c r="E6" s="407"/>
      <c r="F6" s="407"/>
      <c r="G6" s="407"/>
      <c r="H6" s="407"/>
      <c r="I6" s="20"/>
      <c r="J6" s="20"/>
      <c r="K6" s="20"/>
      <c r="L6" s="20"/>
    </row>
    <row r="7" spans="1:12" ht="13.5" thickBo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</row>
    <row r="8" spans="1:12" ht="15.75" customHeight="1" thickBot="1">
      <c r="A8" s="385" t="s">
        <v>0</v>
      </c>
      <c r="B8" s="385" t="s">
        <v>1</v>
      </c>
      <c r="C8" s="428" t="s">
        <v>188</v>
      </c>
      <c r="D8" s="431" t="s">
        <v>3</v>
      </c>
      <c r="E8" s="380" t="s">
        <v>441</v>
      </c>
      <c r="F8" s="424" t="s">
        <v>169</v>
      </c>
      <c r="G8" s="425"/>
      <c r="H8" s="387" t="s">
        <v>170</v>
      </c>
      <c r="I8" s="388"/>
      <c r="J8" s="388"/>
      <c r="K8" s="389"/>
      <c r="L8" s="380" t="s">
        <v>441</v>
      </c>
    </row>
    <row r="9" spans="1:12" ht="13.5" thickBot="1">
      <c r="A9" s="386"/>
      <c r="B9" s="386"/>
      <c r="C9" s="429"/>
      <c r="D9" s="432"/>
      <c r="E9" s="381"/>
      <c r="F9" s="424" t="s">
        <v>81</v>
      </c>
      <c r="G9" s="296" t="s">
        <v>442</v>
      </c>
      <c r="H9" s="385" t="s">
        <v>81</v>
      </c>
      <c r="I9" s="382" t="s">
        <v>443</v>
      </c>
      <c r="J9" s="383"/>
      <c r="K9" s="384"/>
      <c r="L9" s="381"/>
    </row>
    <row r="10" spans="1:12" ht="22.5">
      <c r="A10" s="386"/>
      <c r="B10" s="386"/>
      <c r="C10" s="429"/>
      <c r="D10" s="432"/>
      <c r="E10" s="418" t="s">
        <v>444</v>
      </c>
      <c r="F10" s="426"/>
      <c r="G10" s="422" t="s">
        <v>445</v>
      </c>
      <c r="H10" s="386"/>
      <c r="I10" s="297" t="s">
        <v>446</v>
      </c>
      <c r="J10" s="298" t="s">
        <v>447</v>
      </c>
      <c r="K10" s="298" t="s">
        <v>448</v>
      </c>
      <c r="L10" s="418" t="s">
        <v>449</v>
      </c>
    </row>
    <row r="11" spans="1:12" ht="16.5" customHeight="1" thickBot="1">
      <c r="A11" s="379"/>
      <c r="B11" s="379"/>
      <c r="C11" s="430"/>
      <c r="D11" s="433"/>
      <c r="E11" s="419"/>
      <c r="F11" s="427"/>
      <c r="G11" s="423"/>
      <c r="H11" s="379"/>
      <c r="I11" s="299"/>
      <c r="J11" s="300"/>
      <c r="K11" s="300"/>
      <c r="L11" s="419"/>
    </row>
    <row r="12" spans="1:12" ht="19.5" customHeight="1" thickBot="1">
      <c r="A12" s="301">
        <v>801</v>
      </c>
      <c r="B12" s="302"/>
      <c r="C12" s="303"/>
      <c r="D12" s="304" t="s">
        <v>127</v>
      </c>
      <c r="E12" s="305"/>
      <c r="F12" s="306"/>
      <c r="G12" s="307"/>
      <c r="H12" s="308"/>
      <c r="I12" s="305"/>
      <c r="J12" s="309"/>
      <c r="K12" s="309"/>
      <c r="L12" s="310"/>
    </row>
    <row r="13" spans="1:12" ht="38.25" customHeight="1">
      <c r="A13" s="311"/>
      <c r="B13" s="312">
        <v>80104</v>
      </c>
      <c r="C13" s="313"/>
      <c r="D13" s="314" t="s">
        <v>450</v>
      </c>
      <c r="E13" s="315">
        <v>-74216</v>
      </c>
      <c r="F13" s="168">
        <f>2635055+552100</f>
        <v>3187155</v>
      </c>
      <c r="G13" s="316">
        <v>2635055</v>
      </c>
      <c r="H13" s="317">
        <f>SUM(I13:K13)</f>
        <v>3187155</v>
      </c>
      <c r="I13" s="318">
        <v>2376791</v>
      </c>
      <c r="J13" s="318">
        <v>25300</v>
      </c>
      <c r="K13" s="318">
        <v>785064</v>
      </c>
      <c r="L13" s="319">
        <f>SUM(E13+F13-H13)</f>
        <v>-74216</v>
      </c>
    </row>
    <row r="14" spans="1:12" ht="45" customHeight="1" hidden="1" thickBot="1">
      <c r="A14" s="311"/>
      <c r="B14" s="320"/>
      <c r="C14" s="198"/>
      <c r="D14" s="314" t="s">
        <v>451</v>
      </c>
      <c r="E14" s="318"/>
      <c r="F14" s="148"/>
      <c r="G14" s="316"/>
      <c r="H14" s="321"/>
      <c r="I14" s="318"/>
      <c r="J14" s="318"/>
      <c r="K14" s="318"/>
      <c r="L14" s="322"/>
    </row>
    <row r="15" spans="1:12" ht="22.5" hidden="1">
      <c r="A15" s="311"/>
      <c r="B15" s="323">
        <v>80104</v>
      </c>
      <c r="C15" s="198"/>
      <c r="D15" s="324" t="s">
        <v>452</v>
      </c>
      <c r="E15" s="325"/>
      <c r="F15" s="325"/>
      <c r="G15" s="326"/>
      <c r="H15" s="327"/>
      <c r="I15" s="325"/>
      <c r="J15" s="325"/>
      <c r="K15" s="325"/>
      <c r="L15" s="328"/>
    </row>
    <row r="16" spans="1:12" ht="12.75" hidden="1">
      <c r="A16" s="311"/>
      <c r="B16" s="320"/>
      <c r="C16" s="198"/>
      <c r="D16" s="23" t="s">
        <v>451</v>
      </c>
      <c r="E16" s="329"/>
      <c r="F16" s="329"/>
      <c r="G16" s="330"/>
      <c r="H16" s="331"/>
      <c r="I16" s="329"/>
      <c r="J16" s="329"/>
      <c r="K16" s="329"/>
      <c r="L16" s="332"/>
    </row>
    <row r="17" spans="1:12" ht="33.75" hidden="1">
      <c r="A17" s="311"/>
      <c r="B17" s="320">
        <v>80104</v>
      </c>
      <c r="C17" s="198"/>
      <c r="D17" s="324" t="s">
        <v>453</v>
      </c>
      <c r="E17" s="333"/>
      <c r="F17" s="333"/>
      <c r="G17" s="334"/>
      <c r="H17" s="335"/>
      <c r="I17" s="333"/>
      <c r="J17" s="333"/>
      <c r="K17" s="333"/>
      <c r="L17" s="336"/>
    </row>
    <row r="18" spans="1:12" ht="12.75" hidden="1">
      <c r="A18" s="311"/>
      <c r="B18" s="320"/>
      <c r="C18" s="198"/>
      <c r="D18" s="23" t="s">
        <v>451</v>
      </c>
      <c r="E18" s="337"/>
      <c r="F18" s="337"/>
      <c r="G18" s="338"/>
      <c r="H18" s="339"/>
      <c r="I18" s="337"/>
      <c r="J18" s="337"/>
      <c r="K18" s="337"/>
      <c r="L18" s="340"/>
    </row>
    <row r="19" spans="1:12" ht="33.75" hidden="1">
      <c r="A19" s="311"/>
      <c r="B19" s="341"/>
      <c r="C19" s="198"/>
      <c r="D19" s="324" t="s">
        <v>453</v>
      </c>
      <c r="E19" s="333"/>
      <c r="F19" s="333"/>
      <c r="G19" s="334"/>
      <c r="H19" s="335"/>
      <c r="I19" s="333"/>
      <c r="J19" s="333"/>
      <c r="K19" s="333"/>
      <c r="L19" s="336"/>
    </row>
    <row r="20" spans="1:12" s="344" customFormat="1" ht="45.75" thickBot="1">
      <c r="A20" s="342"/>
      <c r="B20" s="343">
        <v>80146</v>
      </c>
      <c r="D20" s="345" t="s">
        <v>454</v>
      </c>
      <c r="E20" s="346">
        <v>3303</v>
      </c>
      <c r="F20" s="346">
        <v>10679</v>
      </c>
      <c r="G20" s="347">
        <v>10679</v>
      </c>
      <c r="H20" s="348">
        <v>10679</v>
      </c>
      <c r="I20" s="346">
        <v>0</v>
      </c>
      <c r="J20" s="346">
        <v>0</v>
      </c>
      <c r="K20" s="346">
        <v>10679</v>
      </c>
      <c r="L20" s="349">
        <v>3303</v>
      </c>
    </row>
    <row r="21" spans="1:12" s="92" customFormat="1" ht="28.5" customHeight="1" thickBot="1">
      <c r="A21" s="420">
        <v>801</v>
      </c>
      <c r="B21" s="421"/>
      <c r="D21" s="350" t="s">
        <v>81</v>
      </c>
      <c r="E21" s="351">
        <f aca="true" t="shared" si="0" ref="E21:L21">SUM(E13,E20)</f>
        <v>-70913</v>
      </c>
      <c r="F21" s="351">
        <f t="shared" si="0"/>
        <v>3197834</v>
      </c>
      <c r="G21" s="352">
        <f t="shared" si="0"/>
        <v>2645734</v>
      </c>
      <c r="H21" s="353">
        <f t="shared" si="0"/>
        <v>3197834</v>
      </c>
      <c r="I21" s="351">
        <f t="shared" si="0"/>
        <v>2376791</v>
      </c>
      <c r="J21" s="351">
        <f t="shared" si="0"/>
        <v>25300</v>
      </c>
      <c r="K21" s="351">
        <f t="shared" si="0"/>
        <v>795743</v>
      </c>
      <c r="L21" s="354">
        <f t="shared" si="0"/>
        <v>-70913</v>
      </c>
    </row>
    <row r="22" s="355" customFormat="1" ht="11.25">
      <c r="D22" s="356"/>
    </row>
    <row r="23" s="152" customFormat="1" ht="11.25"/>
    <row r="24" spans="10:11" s="152" customFormat="1" ht="11.25">
      <c r="J24" s="107"/>
      <c r="K24" s="107"/>
    </row>
    <row r="25" spans="10:11" s="152" customFormat="1" ht="11.25">
      <c r="J25" s="107"/>
      <c r="K25" s="107"/>
    </row>
    <row r="26" spans="10:11" s="152" customFormat="1" ht="11.25">
      <c r="J26" s="107"/>
      <c r="K26" s="107"/>
    </row>
    <row r="27" spans="10:11" s="152" customFormat="1" ht="11.25">
      <c r="J27" s="107"/>
      <c r="K27" s="107"/>
    </row>
    <row r="28" s="152" customFormat="1" ht="11.25"/>
  </sheetData>
  <mergeCells count="16">
    <mergeCell ref="A6:H6"/>
    <mergeCell ref="A21:B21"/>
    <mergeCell ref="E8:E9"/>
    <mergeCell ref="G10:G11"/>
    <mergeCell ref="F8:G8"/>
    <mergeCell ref="F9:F11"/>
    <mergeCell ref="A8:A11"/>
    <mergeCell ref="B8:B11"/>
    <mergeCell ref="C8:C11"/>
    <mergeCell ref="D8:D11"/>
    <mergeCell ref="L10:L11"/>
    <mergeCell ref="H8:K8"/>
    <mergeCell ref="L8:L9"/>
    <mergeCell ref="E10:E11"/>
    <mergeCell ref="I9:K9"/>
    <mergeCell ref="H9:H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6" sqref="J6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2.875" style="0" customWidth="1"/>
    <col min="7" max="7" width="11.125" style="0" hidden="1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200"/>
      <c r="J1" s="107" t="s">
        <v>455</v>
      </c>
    </row>
    <row r="2" spans="9:10" ht="12.75">
      <c r="I2" s="200"/>
      <c r="J2" s="107" t="s">
        <v>227</v>
      </c>
    </row>
    <row r="3" spans="9:10" ht="12.75">
      <c r="I3" s="200"/>
      <c r="J3" s="107" t="s">
        <v>192</v>
      </c>
    </row>
    <row r="4" spans="9:10" ht="12.75">
      <c r="I4" s="200"/>
      <c r="J4" s="107" t="s">
        <v>284</v>
      </c>
    </row>
    <row r="6" spans="1:12" ht="34.5" customHeight="1">
      <c r="A6" s="407" t="s">
        <v>463</v>
      </c>
      <c r="B6" s="407"/>
      <c r="C6" s="407"/>
      <c r="D6" s="407"/>
      <c r="E6" s="407"/>
      <c r="F6" s="407"/>
      <c r="G6" s="407"/>
      <c r="H6" s="407"/>
      <c r="I6" s="20"/>
      <c r="J6" s="20"/>
      <c r="K6" s="20"/>
      <c r="L6" s="20"/>
    </row>
    <row r="7" spans="1:12" ht="13.5" thickBo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</row>
    <row r="8" spans="1:12" ht="21" customHeight="1" thickBot="1">
      <c r="A8" s="385" t="s">
        <v>0</v>
      </c>
      <c r="B8" s="385" t="s">
        <v>1</v>
      </c>
      <c r="C8" s="428" t="s">
        <v>188</v>
      </c>
      <c r="D8" s="431" t="s">
        <v>3</v>
      </c>
      <c r="E8" s="380" t="s">
        <v>456</v>
      </c>
      <c r="F8" s="424" t="s">
        <v>457</v>
      </c>
      <c r="G8" s="294"/>
      <c r="H8" s="387" t="s">
        <v>458</v>
      </c>
      <c r="I8" s="388"/>
      <c r="J8" s="388"/>
      <c r="K8" s="389"/>
      <c r="L8" s="380" t="s">
        <v>456</v>
      </c>
    </row>
    <row r="9" spans="1:12" ht="12.75">
      <c r="A9" s="386"/>
      <c r="B9" s="386"/>
      <c r="C9" s="429"/>
      <c r="D9" s="432"/>
      <c r="E9" s="381"/>
      <c r="F9" s="426"/>
      <c r="G9" s="358" t="s">
        <v>442</v>
      </c>
      <c r="H9" s="424" t="s">
        <v>81</v>
      </c>
      <c r="I9" s="434" t="s">
        <v>443</v>
      </c>
      <c r="J9" s="435"/>
      <c r="K9" s="436"/>
      <c r="L9" s="381"/>
    </row>
    <row r="10" spans="1:12" ht="22.5" customHeight="1">
      <c r="A10" s="386"/>
      <c r="B10" s="386"/>
      <c r="C10" s="429"/>
      <c r="D10" s="432"/>
      <c r="E10" s="418" t="s">
        <v>444</v>
      </c>
      <c r="F10" s="426"/>
      <c r="G10" s="446" t="s">
        <v>445</v>
      </c>
      <c r="H10" s="426"/>
      <c r="I10" s="437" t="s">
        <v>299</v>
      </c>
      <c r="J10" s="439" t="s">
        <v>447</v>
      </c>
      <c r="K10" s="441" t="s">
        <v>448</v>
      </c>
      <c r="L10" s="418" t="s">
        <v>449</v>
      </c>
    </row>
    <row r="11" spans="1:12" ht="16.5" customHeight="1" thickBot="1">
      <c r="A11" s="379"/>
      <c r="B11" s="386"/>
      <c r="C11" s="430"/>
      <c r="D11" s="433"/>
      <c r="E11" s="419"/>
      <c r="F11" s="427"/>
      <c r="G11" s="447"/>
      <c r="H11" s="427"/>
      <c r="I11" s="438"/>
      <c r="J11" s="440"/>
      <c r="K11" s="442"/>
      <c r="L11" s="419"/>
    </row>
    <row r="12" spans="1:12" ht="19.5" customHeight="1" thickBot="1">
      <c r="A12" s="359">
        <v>801</v>
      </c>
      <c r="B12" s="360"/>
      <c r="C12" s="303"/>
      <c r="D12" s="361" t="s">
        <v>127</v>
      </c>
      <c r="E12" s="305"/>
      <c r="F12" s="306"/>
      <c r="G12" s="307"/>
      <c r="H12" s="308"/>
      <c r="I12" s="305"/>
      <c r="J12" s="309"/>
      <c r="K12" s="309"/>
      <c r="L12" s="310"/>
    </row>
    <row r="13" spans="1:12" ht="45" customHeight="1">
      <c r="A13" s="311"/>
      <c r="B13" s="312">
        <v>80101</v>
      </c>
      <c r="C13" s="313"/>
      <c r="D13" s="362" t="s">
        <v>62</v>
      </c>
      <c r="E13" s="363">
        <v>0</v>
      </c>
      <c r="F13" s="168">
        <v>36560</v>
      </c>
      <c r="G13" s="316">
        <v>0</v>
      </c>
      <c r="H13" s="317">
        <f>SUM(I13:K13)</f>
        <v>36560</v>
      </c>
      <c r="I13" s="318">
        <v>0</v>
      </c>
      <c r="J13" s="318">
        <v>0</v>
      </c>
      <c r="K13" s="318">
        <v>36560</v>
      </c>
      <c r="L13" s="319">
        <f>SUM(E13+F13-H13)</f>
        <v>0</v>
      </c>
    </row>
    <row r="14" spans="1:12" ht="45" customHeight="1" hidden="1">
      <c r="A14" s="311"/>
      <c r="B14" s="312"/>
      <c r="C14" s="198"/>
      <c r="D14" s="364" t="s">
        <v>451</v>
      </c>
      <c r="E14" s="365"/>
      <c r="F14" s="148"/>
      <c r="G14" s="316"/>
      <c r="H14" s="321"/>
      <c r="I14" s="318"/>
      <c r="J14" s="318"/>
      <c r="K14" s="318"/>
      <c r="L14" s="322"/>
    </row>
    <row r="15" spans="1:12" ht="45" customHeight="1" hidden="1">
      <c r="A15" s="311"/>
      <c r="B15" s="312"/>
      <c r="C15" s="198"/>
      <c r="D15" s="364" t="s">
        <v>459</v>
      </c>
      <c r="E15" s="365"/>
      <c r="F15" s="148"/>
      <c r="G15" s="316"/>
      <c r="H15" s="321"/>
      <c r="I15" s="318"/>
      <c r="J15" s="318"/>
      <c r="K15" s="318"/>
      <c r="L15" s="322"/>
    </row>
    <row r="16" spans="1:12" ht="45" customHeight="1" thickBot="1">
      <c r="A16" s="311"/>
      <c r="B16" s="366">
        <v>80110</v>
      </c>
      <c r="C16" s="198"/>
      <c r="D16" s="367" t="s">
        <v>63</v>
      </c>
      <c r="E16" s="363">
        <v>0</v>
      </c>
      <c r="F16" s="168">
        <v>9829</v>
      </c>
      <c r="G16" s="316">
        <v>0</v>
      </c>
      <c r="H16" s="317">
        <f>SUM(I16:K16)</f>
        <v>9829</v>
      </c>
      <c r="I16" s="318">
        <v>0</v>
      </c>
      <c r="J16" s="318">
        <v>0</v>
      </c>
      <c r="K16" s="318">
        <v>9829</v>
      </c>
      <c r="L16" s="319">
        <f>SUM(E16+F16-H16)</f>
        <v>0</v>
      </c>
    </row>
    <row r="17" spans="1:12" ht="13.5" hidden="1" thickBot="1">
      <c r="A17" s="311"/>
      <c r="B17" s="341"/>
      <c r="C17" s="198"/>
      <c r="D17" s="368" t="s">
        <v>451</v>
      </c>
      <c r="E17" s="329"/>
      <c r="F17" s="329"/>
      <c r="G17" s="330"/>
      <c r="H17" s="331"/>
      <c r="I17" s="329"/>
      <c r="J17" s="329"/>
      <c r="K17" s="329"/>
      <c r="L17" s="332"/>
    </row>
    <row r="18" spans="1:12" ht="13.5" hidden="1" thickBot="1">
      <c r="A18" s="311"/>
      <c r="B18" s="312"/>
      <c r="C18" s="198"/>
      <c r="D18" s="369" t="s">
        <v>459</v>
      </c>
      <c r="E18" s="333"/>
      <c r="F18" s="333"/>
      <c r="G18" s="334"/>
      <c r="H18" s="335"/>
      <c r="I18" s="333"/>
      <c r="J18" s="333"/>
      <c r="K18" s="333"/>
      <c r="L18" s="336"/>
    </row>
    <row r="19" spans="1:12" ht="19.5" customHeight="1" thickBot="1">
      <c r="A19" s="359">
        <v>854</v>
      </c>
      <c r="B19" s="370"/>
      <c r="C19" s="303"/>
      <c r="D19" s="361" t="s">
        <v>71</v>
      </c>
      <c r="E19" s="305"/>
      <c r="F19" s="306"/>
      <c r="G19" s="307"/>
      <c r="H19" s="308"/>
      <c r="I19" s="305"/>
      <c r="J19" s="309"/>
      <c r="K19" s="309"/>
      <c r="L19" s="310"/>
    </row>
    <row r="20" spans="1:12" ht="45" customHeight="1" thickBot="1">
      <c r="A20" s="311"/>
      <c r="B20" s="366">
        <v>85401</v>
      </c>
      <c r="C20" s="198"/>
      <c r="D20" s="371" t="s">
        <v>72</v>
      </c>
      <c r="E20" s="363">
        <v>0</v>
      </c>
      <c r="F20" s="168">
        <v>88514</v>
      </c>
      <c r="G20" s="316">
        <v>0</v>
      </c>
      <c r="H20" s="317">
        <f>SUM(I20:K20)</f>
        <v>88514</v>
      </c>
      <c r="I20" s="318">
        <v>0</v>
      </c>
      <c r="J20" s="318">
        <v>0</v>
      </c>
      <c r="K20" s="318">
        <v>88514</v>
      </c>
      <c r="L20" s="319">
        <f>SUM(E20+F20-H20)</f>
        <v>0</v>
      </c>
    </row>
    <row r="21" spans="1:12" ht="13.5" hidden="1" thickBot="1">
      <c r="A21" s="311"/>
      <c r="B21" s="320"/>
      <c r="C21" s="198"/>
      <c r="D21" s="372" t="s">
        <v>451</v>
      </c>
      <c r="E21" s="373"/>
      <c r="F21" s="337"/>
      <c r="G21" s="338"/>
      <c r="H21" s="339"/>
      <c r="I21" s="337"/>
      <c r="J21" s="337"/>
      <c r="K21" s="337"/>
      <c r="L21" s="340"/>
    </row>
    <row r="22" spans="1:12" ht="34.5" hidden="1" thickBot="1">
      <c r="A22" s="311"/>
      <c r="B22" s="320"/>
      <c r="C22" s="198"/>
      <c r="D22" s="374" t="s">
        <v>453</v>
      </c>
      <c r="E22" s="375"/>
      <c r="F22" s="333"/>
      <c r="G22" s="334"/>
      <c r="H22" s="335"/>
      <c r="I22" s="333"/>
      <c r="J22" s="333"/>
      <c r="K22" s="333"/>
      <c r="L22" s="336"/>
    </row>
    <row r="23" spans="1:12" s="92" customFormat="1" ht="28.5" customHeight="1" thickBot="1">
      <c r="A23" s="443" t="s">
        <v>81</v>
      </c>
      <c r="B23" s="444"/>
      <c r="C23" s="444"/>
      <c r="D23" s="445"/>
      <c r="E23" s="376">
        <f aca="true" t="shared" si="0" ref="E23:L23">SUM(E13,E16,E20)</f>
        <v>0</v>
      </c>
      <c r="F23" s="351">
        <f t="shared" si="0"/>
        <v>134903</v>
      </c>
      <c r="G23" s="377">
        <f t="shared" si="0"/>
        <v>0</v>
      </c>
      <c r="H23" s="353">
        <f t="shared" si="0"/>
        <v>134903</v>
      </c>
      <c r="I23" s="378">
        <f t="shared" si="0"/>
        <v>0</v>
      </c>
      <c r="J23" s="378">
        <f t="shared" si="0"/>
        <v>0</v>
      </c>
      <c r="K23" s="378">
        <f t="shared" si="0"/>
        <v>134903</v>
      </c>
      <c r="L23" s="354">
        <f t="shared" si="0"/>
        <v>0</v>
      </c>
    </row>
    <row r="24" s="355" customFormat="1" ht="11.25">
      <c r="D24" s="356"/>
    </row>
    <row r="25" s="152" customFormat="1" ht="11.25"/>
    <row r="26" spans="10:11" s="152" customFormat="1" ht="11.25">
      <c r="J26" s="107"/>
      <c r="K26" s="107"/>
    </row>
    <row r="27" spans="10:11" s="152" customFormat="1" ht="11.25">
      <c r="J27" s="107"/>
      <c r="K27" s="107"/>
    </row>
    <row r="28" spans="10:11" s="152" customFormat="1" ht="11.25">
      <c r="J28" s="107"/>
      <c r="K28" s="107"/>
    </row>
    <row r="29" spans="10:11" s="152" customFormat="1" ht="11.25">
      <c r="J29" s="107"/>
      <c r="K29" s="107"/>
    </row>
    <row r="30" s="152" customFormat="1" ht="11.25"/>
  </sheetData>
  <mergeCells count="18">
    <mergeCell ref="A23:D23"/>
    <mergeCell ref="A6:H6"/>
    <mergeCell ref="E8:E9"/>
    <mergeCell ref="G10:G11"/>
    <mergeCell ref="A8:A11"/>
    <mergeCell ref="B8:B11"/>
    <mergeCell ref="C8:C11"/>
    <mergeCell ref="D8:D11"/>
    <mergeCell ref="L10:L11"/>
    <mergeCell ref="H8:K8"/>
    <mergeCell ref="L8:L9"/>
    <mergeCell ref="E10:E11"/>
    <mergeCell ref="I9:K9"/>
    <mergeCell ref="H9:H11"/>
    <mergeCell ref="I10:I11"/>
    <mergeCell ref="J10:J11"/>
    <mergeCell ref="K10:K11"/>
    <mergeCell ref="F8:F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13" sqref="C13:G13"/>
    </sheetView>
  </sheetViews>
  <sheetFormatPr defaultColWidth="9.00390625" defaultRowHeight="12.75"/>
  <cols>
    <col min="1" max="1" width="6.125" style="253" customWidth="1"/>
    <col min="2" max="2" width="21.00390625" style="0" customWidth="1"/>
    <col min="3" max="3" width="13.00390625" style="0" customWidth="1"/>
    <col min="4" max="4" width="13.125" style="0" customWidth="1"/>
    <col min="5" max="5" width="13.875" style="0" customWidth="1"/>
    <col min="6" max="6" width="13.625" style="0" customWidth="1"/>
    <col min="7" max="7" width="14.00390625" style="0" customWidth="1"/>
    <col min="8" max="8" width="13.125" style="0" customWidth="1"/>
    <col min="9" max="9" width="13.25390625" style="0" customWidth="1"/>
  </cols>
  <sheetData>
    <row r="1" spans="5:9" ht="12.75">
      <c r="E1" s="252"/>
      <c r="F1" s="209"/>
      <c r="G1" s="107"/>
      <c r="H1" s="107" t="s">
        <v>195</v>
      </c>
      <c r="I1" s="43"/>
    </row>
    <row r="2" spans="5:9" ht="12.75">
      <c r="E2" s="252"/>
      <c r="F2" s="129"/>
      <c r="G2" s="107"/>
      <c r="H2" s="107" t="s">
        <v>227</v>
      </c>
      <c r="I2" s="50"/>
    </row>
    <row r="3" spans="5:9" ht="12.75">
      <c r="E3" s="252"/>
      <c r="F3" s="209"/>
      <c r="G3" s="107"/>
      <c r="H3" s="107" t="s">
        <v>192</v>
      </c>
      <c r="I3" s="43"/>
    </row>
    <row r="4" spans="5:9" ht="12.75">
      <c r="E4" s="252"/>
      <c r="F4" s="129"/>
      <c r="G4" s="107"/>
      <c r="H4" s="107" t="s">
        <v>284</v>
      </c>
      <c r="I4" s="50"/>
    </row>
    <row r="5" spans="1:6" ht="15">
      <c r="A5" s="448" t="s">
        <v>413</v>
      </c>
      <c r="B5" s="448"/>
      <c r="C5" s="448"/>
      <c r="D5" s="448"/>
      <c r="E5" s="448"/>
      <c r="F5" s="448"/>
    </row>
    <row r="7" spans="1:9" ht="11.25" customHeight="1">
      <c r="A7" s="399" t="s">
        <v>188</v>
      </c>
      <c r="B7" s="399" t="s">
        <v>3</v>
      </c>
      <c r="C7" s="449" t="s">
        <v>384</v>
      </c>
      <c r="D7" s="449" t="s">
        <v>385</v>
      </c>
      <c r="E7" s="449" t="s">
        <v>386</v>
      </c>
      <c r="F7" s="450" t="s">
        <v>431</v>
      </c>
      <c r="G7" s="450"/>
      <c r="H7" s="450"/>
      <c r="I7" s="451"/>
    </row>
    <row r="8" spans="1:9" ht="12.75">
      <c r="A8" s="399"/>
      <c r="B8" s="399"/>
      <c r="C8" s="449"/>
      <c r="D8" s="449"/>
      <c r="E8" s="449"/>
      <c r="F8" s="452">
        <v>2006</v>
      </c>
      <c r="G8" s="452"/>
      <c r="H8" s="452">
        <v>2007</v>
      </c>
      <c r="I8" s="452"/>
    </row>
    <row r="9" spans="1:9" ht="10.5" customHeight="1">
      <c r="A9" s="399"/>
      <c r="B9" s="399"/>
      <c r="C9" s="449"/>
      <c r="D9" s="449"/>
      <c r="E9" s="449"/>
      <c r="F9" s="101" t="s">
        <v>429</v>
      </c>
      <c r="G9" s="101" t="s">
        <v>430</v>
      </c>
      <c r="H9" s="101" t="s">
        <v>429</v>
      </c>
      <c r="I9" s="101" t="s">
        <v>430</v>
      </c>
    </row>
    <row r="10" spans="1:9" ht="61.5" customHeight="1">
      <c r="A10" s="2">
        <v>1</v>
      </c>
      <c r="B10" s="167" t="s">
        <v>387</v>
      </c>
      <c r="C10" s="255" t="s">
        <v>388</v>
      </c>
      <c r="D10" s="256" t="s">
        <v>389</v>
      </c>
      <c r="E10" s="59">
        <v>22268198.69</v>
      </c>
      <c r="F10" s="59">
        <v>2948488.1</v>
      </c>
      <c r="G10" s="59">
        <v>5717635.6</v>
      </c>
      <c r="H10" s="13">
        <v>0</v>
      </c>
      <c r="I10" s="13">
        <v>0</v>
      </c>
    </row>
    <row r="11" spans="1:9" ht="22.5" customHeight="1">
      <c r="A11" s="2"/>
      <c r="B11" s="254" t="s">
        <v>390</v>
      </c>
      <c r="C11" s="453" t="s">
        <v>391</v>
      </c>
      <c r="D11" s="453"/>
      <c r="E11" s="453"/>
      <c r="F11" s="453"/>
      <c r="G11" s="453"/>
      <c r="H11" s="453"/>
      <c r="I11" s="453"/>
    </row>
    <row r="12" spans="1:9" ht="24">
      <c r="A12" s="2" t="s">
        <v>392</v>
      </c>
      <c r="B12" s="167" t="s">
        <v>393</v>
      </c>
      <c r="C12" s="255" t="s">
        <v>388</v>
      </c>
      <c r="D12" s="256" t="s">
        <v>394</v>
      </c>
      <c r="E12" s="59">
        <v>4500000</v>
      </c>
      <c r="F12" s="13">
        <v>220000</v>
      </c>
      <c r="G12" s="13">
        <v>0</v>
      </c>
      <c r="H12" s="13">
        <v>0</v>
      </c>
      <c r="I12" s="13">
        <v>0</v>
      </c>
    </row>
    <row r="13" spans="1:9" ht="19.5" customHeight="1">
      <c r="A13" s="2"/>
      <c r="B13" s="254" t="s">
        <v>390</v>
      </c>
      <c r="C13" s="453" t="s">
        <v>395</v>
      </c>
      <c r="D13" s="453"/>
      <c r="E13" s="453"/>
      <c r="F13" s="453"/>
      <c r="G13" s="453"/>
      <c r="H13" s="257"/>
      <c r="I13" s="257"/>
    </row>
    <row r="14" spans="1:9" s="202" customFormat="1" ht="49.5" customHeight="1">
      <c r="A14" s="2" t="s">
        <v>396</v>
      </c>
      <c r="B14" s="167" t="s">
        <v>397</v>
      </c>
      <c r="C14" s="255" t="s">
        <v>388</v>
      </c>
      <c r="D14" s="256" t="s">
        <v>398</v>
      </c>
      <c r="E14" s="74">
        <v>700000</v>
      </c>
      <c r="F14" s="35">
        <v>80000</v>
      </c>
      <c r="G14" s="261"/>
      <c r="H14" s="35">
        <v>250000</v>
      </c>
      <c r="I14" s="261"/>
    </row>
    <row r="15" spans="1:9" s="202" customFormat="1" ht="19.5" customHeight="1">
      <c r="A15" s="2"/>
      <c r="B15" s="254" t="s">
        <v>390</v>
      </c>
      <c r="C15" s="457" t="s">
        <v>399</v>
      </c>
      <c r="D15" s="457"/>
      <c r="E15" s="457"/>
      <c r="F15" s="457"/>
      <c r="G15" s="457"/>
      <c r="H15" s="457"/>
      <c r="I15" s="457"/>
    </row>
    <row r="16" spans="1:9" ht="56.25">
      <c r="A16" s="2" t="s">
        <v>400</v>
      </c>
      <c r="B16" s="293" t="s">
        <v>401</v>
      </c>
      <c r="C16" s="259" t="s">
        <v>388</v>
      </c>
      <c r="D16" s="256" t="s">
        <v>402</v>
      </c>
      <c r="E16" s="74">
        <v>2000000</v>
      </c>
      <c r="F16" s="35"/>
      <c r="G16" s="258"/>
      <c r="H16" s="35">
        <v>250000</v>
      </c>
      <c r="I16" s="258"/>
    </row>
    <row r="17" spans="1:9" ht="19.5" customHeight="1">
      <c r="A17" s="260"/>
      <c r="B17" s="254" t="s">
        <v>390</v>
      </c>
      <c r="C17" s="458" t="s">
        <v>399</v>
      </c>
      <c r="D17" s="459"/>
      <c r="E17" s="459"/>
      <c r="F17" s="459"/>
      <c r="G17" s="459"/>
      <c r="H17" s="459"/>
      <c r="I17" s="460"/>
    </row>
    <row r="18" spans="1:9" s="202" customFormat="1" ht="24">
      <c r="A18" s="2" t="s">
        <v>403</v>
      </c>
      <c r="B18" s="167" t="s">
        <v>404</v>
      </c>
      <c r="C18" s="255" t="s">
        <v>388</v>
      </c>
      <c r="D18" s="256" t="s">
        <v>405</v>
      </c>
      <c r="E18" s="74">
        <v>8000000</v>
      </c>
      <c r="F18" s="35"/>
      <c r="G18" s="261"/>
      <c r="H18" s="35">
        <v>1400000</v>
      </c>
      <c r="I18" s="35">
        <v>2100000</v>
      </c>
    </row>
    <row r="19" spans="1:9" ht="19.5" customHeight="1">
      <c r="A19" s="260"/>
      <c r="B19" s="254" t="s">
        <v>390</v>
      </c>
      <c r="C19" s="458" t="s">
        <v>406</v>
      </c>
      <c r="D19" s="459"/>
      <c r="E19" s="459"/>
      <c r="F19" s="459"/>
      <c r="G19" s="459"/>
      <c r="H19" s="459"/>
      <c r="I19" s="460"/>
    </row>
    <row r="20" spans="1:9" s="202" customFormat="1" ht="24">
      <c r="A20" s="2" t="s">
        <v>407</v>
      </c>
      <c r="B20" s="167" t="s">
        <v>408</v>
      </c>
      <c r="C20" s="255" t="s">
        <v>388</v>
      </c>
      <c r="D20" s="256">
        <v>2007</v>
      </c>
      <c r="E20" s="74">
        <v>2000000</v>
      </c>
      <c r="F20" s="35"/>
      <c r="G20" s="261"/>
      <c r="H20" s="35">
        <v>1400000</v>
      </c>
      <c r="I20" s="35">
        <v>600000</v>
      </c>
    </row>
    <row r="21" spans="1:9" ht="19.5" customHeight="1">
      <c r="A21" s="260"/>
      <c r="B21" s="254" t="s">
        <v>390</v>
      </c>
      <c r="C21" s="454" t="s">
        <v>406</v>
      </c>
      <c r="D21" s="455"/>
      <c r="E21" s="455"/>
      <c r="F21" s="455"/>
      <c r="G21" s="455"/>
      <c r="H21" s="455"/>
      <c r="I21" s="456"/>
    </row>
    <row r="22" spans="1:9" s="202" customFormat="1" ht="24">
      <c r="A22" s="2" t="s">
        <v>409</v>
      </c>
      <c r="B22" s="36" t="s">
        <v>410</v>
      </c>
      <c r="C22" s="255" t="s">
        <v>388</v>
      </c>
      <c r="D22" s="256" t="s">
        <v>411</v>
      </c>
      <c r="E22" s="74">
        <v>162720</v>
      </c>
      <c r="F22" s="35">
        <v>70000</v>
      </c>
      <c r="G22" s="35"/>
      <c r="H22" s="35">
        <v>68170</v>
      </c>
      <c r="I22" s="35"/>
    </row>
    <row r="23" spans="1:9" ht="19.5" customHeight="1">
      <c r="A23" s="260"/>
      <c r="B23" s="254" t="s">
        <v>390</v>
      </c>
      <c r="C23" s="454" t="s">
        <v>412</v>
      </c>
      <c r="D23" s="455"/>
      <c r="E23" s="455"/>
      <c r="F23" s="455"/>
      <c r="G23" s="455"/>
      <c r="H23" s="455"/>
      <c r="I23" s="456"/>
    </row>
    <row r="24" ht="12.75">
      <c r="B24" s="222"/>
    </row>
  </sheetData>
  <mergeCells count="16">
    <mergeCell ref="C11:I11"/>
    <mergeCell ref="C13:G13"/>
    <mergeCell ref="C21:I21"/>
    <mergeCell ref="C23:I23"/>
    <mergeCell ref="C15:I15"/>
    <mergeCell ref="C17:I17"/>
    <mergeCell ref="C19:I19"/>
    <mergeCell ref="A5:F5"/>
    <mergeCell ref="A7:A9"/>
    <mergeCell ref="B7:B9"/>
    <mergeCell ref="C7:C9"/>
    <mergeCell ref="D7:D9"/>
    <mergeCell ref="E7:E9"/>
    <mergeCell ref="F7:I7"/>
    <mergeCell ref="F8:G8"/>
    <mergeCell ref="H8:I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1" sqref="D11"/>
    </sheetView>
  </sheetViews>
  <sheetFormatPr defaultColWidth="9.00390625" defaultRowHeight="12.75"/>
  <cols>
    <col min="1" max="1" width="5.75390625" style="9" customWidth="1"/>
    <col min="2" max="2" width="8.25390625" style="9" customWidth="1"/>
    <col min="3" max="3" width="5.75390625" style="9" customWidth="1"/>
    <col min="4" max="4" width="38.625" style="9" customWidth="1"/>
    <col min="5" max="5" width="18.375" style="9" customWidth="1"/>
  </cols>
  <sheetData>
    <row r="1" ht="12.75">
      <c r="E1" s="43" t="s">
        <v>426</v>
      </c>
    </row>
    <row r="2" ht="12.75">
      <c r="E2" s="50" t="s">
        <v>359</v>
      </c>
    </row>
    <row r="3" ht="12.75">
      <c r="E3" s="50" t="s">
        <v>192</v>
      </c>
    </row>
    <row r="4" ht="12.75">
      <c r="E4" s="50" t="s">
        <v>360</v>
      </c>
    </row>
    <row r="8" spans="1:5" ht="43.5" customHeight="1">
      <c r="A8" s="461" t="s">
        <v>368</v>
      </c>
      <c r="B8" s="461"/>
      <c r="C8" s="461"/>
      <c r="D8" s="461"/>
      <c r="E8" s="357"/>
    </row>
    <row r="9" spans="1:5" ht="17.25" customHeight="1">
      <c r="A9" s="73"/>
      <c r="B9" s="73"/>
      <c r="C9" s="73"/>
      <c r="D9" s="73"/>
      <c r="E9" s="73"/>
    </row>
    <row r="10" spans="1:5" ht="12.75">
      <c r="A10" s="73"/>
      <c r="B10" s="73"/>
      <c r="C10" s="73"/>
      <c r="D10" s="73"/>
      <c r="E10" s="51"/>
    </row>
    <row r="11" spans="1:5" s="9" customFormat="1" ht="24.75" customHeight="1">
      <c r="A11" s="21" t="s">
        <v>0</v>
      </c>
      <c r="B11" s="21" t="s">
        <v>1</v>
      </c>
      <c r="C11" s="21" t="s">
        <v>2</v>
      </c>
      <c r="D11" s="27" t="s">
        <v>3</v>
      </c>
      <c r="E11" s="34" t="s">
        <v>165</v>
      </c>
    </row>
    <row r="12" spans="1:5" ht="24.75" customHeight="1">
      <c r="A12" s="60" t="s">
        <v>18</v>
      </c>
      <c r="B12" s="6"/>
      <c r="C12" s="38"/>
      <c r="D12" s="58" t="s">
        <v>19</v>
      </c>
      <c r="E12" s="74">
        <f>SUM(E13)</f>
        <v>75000</v>
      </c>
    </row>
    <row r="13" spans="1:5" ht="24.75" customHeight="1">
      <c r="A13" s="3"/>
      <c r="B13" s="3">
        <v>75011</v>
      </c>
      <c r="C13" s="5"/>
      <c r="D13" s="32" t="s">
        <v>20</v>
      </c>
      <c r="E13" s="35">
        <f>SUM(E14)</f>
        <v>75000</v>
      </c>
    </row>
    <row r="14" spans="1:5" ht="41.25" customHeight="1">
      <c r="A14" s="3"/>
      <c r="B14" s="4"/>
      <c r="C14" s="11">
        <v>2350</v>
      </c>
      <c r="D14" s="32" t="s">
        <v>194</v>
      </c>
      <c r="E14" s="35">
        <v>75000</v>
      </c>
    </row>
    <row r="15" spans="1:5" ht="24.75" customHeight="1">
      <c r="A15" s="14"/>
      <c r="B15" s="14"/>
      <c r="C15" s="14"/>
      <c r="D15" s="27" t="s">
        <v>81</v>
      </c>
      <c r="E15" s="74">
        <f>SUM(E12)</f>
        <v>75000</v>
      </c>
    </row>
  </sheetData>
  <mergeCells count="1">
    <mergeCell ref="A8:D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4"/>
  <sheetViews>
    <sheetView workbookViewId="0" topLeftCell="A187">
      <selection activeCell="D316" sqref="D316"/>
    </sheetView>
  </sheetViews>
  <sheetFormatPr defaultColWidth="9.00390625" defaultRowHeight="12.75"/>
  <cols>
    <col min="1" max="1" width="5.625" style="9" customWidth="1"/>
    <col min="2" max="2" width="8.75390625" style="9" customWidth="1"/>
    <col min="3" max="3" width="6.25390625" style="9" customWidth="1"/>
    <col min="4" max="4" width="35.00390625" style="9" customWidth="1"/>
    <col min="5" max="5" width="24.25390625" style="55" customWidth="1"/>
    <col min="6" max="6" width="11.75390625" style="182" hidden="1" customWidth="1"/>
    <col min="7" max="7" width="11.75390625" style="185" hidden="1" customWidth="1"/>
    <col min="8" max="8" width="13.75390625" style="91" hidden="1" customWidth="1"/>
    <col min="9" max="18" width="0" style="0" hidden="1" customWidth="1"/>
    <col min="20" max="20" width="11.125" style="251" customWidth="1"/>
    <col min="21" max="21" width="9.75390625" style="251" customWidth="1"/>
    <col min="22" max="22" width="11.375" style="251" customWidth="1"/>
    <col min="23" max="23" width="9.25390625" style="251" customWidth="1"/>
    <col min="24" max="24" width="9.875" style="251" customWidth="1"/>
    <col min="25" max="25" width="11.125" style="251" customWidth="1"/>
  </cols>
  <sheetData>
    <row r="1" spans="1:8" ht="12">
      <c r="A1" s="219"/>
      <c r="B1" s="219"/>
      <c r="C1" s="219"/>
      <c r="D1" s="219"/>
      <c r="E1" s="107" t="s">
        <v>285</v>
      </c>
      <c r="G1" s="107"/>
      <c r="H1" s="107"/>
    </row>
    <row r="2" spans="1:8" ht="12">
      <c r="A2" s="219"/>
      <c r="B2" s="219"/>
      <c r="C2" s="219"/>
      <c r="D2" s="219"/>
      <c r="E2" s="107" t="s">
        <v>359</v>
      </c>
      <c r="G2" s="107"/>
      <c r="H2" s="107"/>
    </row>
    <row r="3" spans="1:8" ht="12">
      <c r="A3" s="219"/>
      <c r="B3" s="219"/>
      <c r="C3" s="219"/>
      <c r="D3" s="219"/>
      <c r="E3" s="107" t="s">
        <v>192</v>
      </c>
      <c r="G3" s="107"/>
      <c r="H3" s="107"/>
    </row>
    <row r="4" spans="1:8" ht="12">
      <c r="A4" s="219"/>
      <c r="B4" s="219"/>
      <c r="C4" s="219"/>
      <c r="D4" s="219"/>
      <c r="E4" s="107" t="s">
        <v>360</v>
      </c>
      <c r="G4" s="107"/>
      <c r="H4" s="107"/>
    </row>
    <row r="5" spans="1:7" ht="12.75">
      <c r="A5" s="219"/>
      <c r="B5" s="219"/>
      <c r="C5" s="219"/>
      <c r="D5" s="219"/>
      <c r="E5" s="189"/>
      <c r="F5" s="189"/>
      <c r="G5" s="194"/>
    </row>
    <row r="6" spans="1:7" ht="21" customHeight="1">
      <c r="A6" s="391" t="s">
        <v>435</v>
      </c>
      <c r="B6" s="391"/>
      <c r="C6" s="391"/>
      <c r="D6" s="391"/>
      <c r="E6" s="182"/>
      <c r="G6" s="194"/>
    </row>
    <row r="7" spans="1:7" ht="12.75">
      <c r="A7" s="33"/>
      <c r="B7" s="33"/>
      <c r="C7" s="33"/>
      <c r="D7" s="220"/>
      <c r="E7" s="245"/>
      <c r="G7" s="194"/>
    </row>
    <row r="8" spans="1:40" s="9" customFormat="1" ht="24.75" customHeight="1">
      <c r="A8" s="65" t="s">
        <v>0</v>
      </c>
      <c r="B8" s="65" t="s">
        <v>1</v>
      </c>
      <c r="C8" s="65" t="s">
        <v>2</v>
      </c>
      <c r="D8" s="65" t="s">
        <v>3</v>
      </c>
      <c r="E8" s="111" t="s">
        <v>165</v>
      </c>
      <c r="F8" s="12" t="s">
        <v>309</v>
      </c>
      <c r="G8" s="12" t="s">
        <v>310</v>
      </c>
      <c r="H8" s="37" t="s">
        <v>168</v>
      </c>
      <c r="T8" s="286">
        <v>4010</v>
      </c>
      <c r="U8" s="286">
        <v>4040</v>
      </c>
      <c r="V8" s="286">
        <v>4110</v>
      </c>
      <c r="W8" s="286">
        <v>4120</v>
      </c>
      <c r="X8" s="286">
        <v>4170</v>
      </c>
      <c r="Y8" s="286">
        <v>6050</v>
      </c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</row>
    <row r="9" spans="1:25" s="20" customFormat="1" ht="24.75" customHeight="1">
      <c r="A9" s="63" t="s">
        <v>4</v>
      </c>
      <c r="B9" s="112"/>
      <c r="C9" s="113"/>
      <c r="D9" s="66" t="s">
        <v>5</v>
      </c>
      <c r="E9" s="67">
        <f>SUM(E10)</f>
        <v>7000</v>
      </c>
      <c r="F9" s="118">
        <f aca="true" t="shared" si="0" ref="F9:H10">SUM(F10)</f>
        <v>0</v>
      </c>
      <c r="G9" s="118">
        <f t="shared" si="0"/>
        <v>0</v>
      </c>
      <c r="H9" s="118">
        <f t="shared" si="0"/>
        <v>7000</v>
      </c>
      <c r="T9" s="279"/>
      <c r="U9" s="279"/>
      <c r="V9" s="279"/>
      <c r="W9" s="279"/>
      <c r="X9" s="279"/>
      <c r="Y9" s="279"/>
    </row>
    <row r="10" spans="1:25" s="43" customFormat="1" ht="21.75" customHeight="1">
      <c r="A10" s="120"/>
      <c r="B10" s="138" t="s">
        <v>83</v>
      </c>
      <c r="C10" s="123"/>
      <c r="D10" s="68" t="s">
        <v>84</v>
      </c>
      <c r="E10" s="136">
        <f>SUM(E11)</f>
        <v>7000</v>
      </c>
      <c r="F10" s="150">
        <f t="shared" si="0"/>
        <v>0</v>
      </c>
      <c r="G10" s="150">
        <f t="shared" si="0"/>
        <v>0</v>
      </c>
      <c r="H10" s="150">
        <f t="shared" si="0"/>
        <v>7000</v>
      </c>
      <c r="T10" s="280"/>
      <c r="U10" s="280"/>
      <c r="V10" s="280"/>
      <c r="W10" s="280"/>
      <c r="X10" s="280"/>
      <c r="Y10" s="280"/>
    </row>
    <row r="11" spans="1:25" s="43" customFormat="1" ht="24">
      <c r="A11" s="139"/>
      <c r="B11" s="140"/>
      <c r="C11" s="123">
        <v>2850</v>
      </c>
      <c r="D11" s="68" t="s">
        <v>85</v>
      </c>
      <c r="E11" s="136">
        <v>7000</v>
      </c>
      <c r="F11" s="141"/>
      <c r="G11" s="141"/>
      <c r="H11" s="148">
        <f>SUM(E11+F11-G11)</f>
        <v>7000</v>
      </c>
      <c r="T11" s="280"/>
      <c r="U11" s="280"/>
      <c r="V11" s="280"/>
      <c r="W11" s="280"/>
      <c r="X11" s="280"/>
      <c r="Y11" s="280"/>
    </row>
    <row r="12" spans="1:25" s="8" customFormat="1" ht="24.75" customHeight="1">
      <c r="A12" s="63" t="s">
        <v>88</v>
      </c>
      <c r="B12" s="64"/>
      <c r="C12" s="65"/>
      <c r="D12" s="66" t="s">
        <v>89</v>
      </c>
      <c r="E12" s="67">
        <f>E13</f>
        <v>851510</v>
      </c>
      <c r="F12" s="67" t="e">
        <f>SUM(#REF!,#REF!,F13)</f>
        <v>#REF!</v>
      </c>
      <c r="G12" s="67" t="e">
        <f>SUM(#REF!,#REF!,G13)</f>
        <v>#REF!</v>
      </c>
      <c r="H12" s="67" t="e">
        <f>SUM(#REF!,#REF!,H13)</f>
        <v>#REF!</v>
      </c>
      <c r="T12" s="280"/>
      <c r="U12" s="280"/>
      <c r="V12" s="280"/>
      <c r="W12" s="280"/>
      <c r="X12" s="280"/>
      <c r="Y12" s="280"/>
    </row>
    <row r="13" spans="1:25" s="43" customFormat="1" ht="21.75" customHeight="1">
      <c r="A13" s="120"/>
      <c r="B13" s="138" t="s">
        <v>90</v>
      </c>
      <c r="C13" s="142"/>
      <c r="D13" s="68" t="s">
        <v>91</v>
      </c>
      <c r="E13" s="136">
        <f>SUM(E14:E17)</f>
        <v>851510</v>
      </c>
      <c r="F13" s="136">
        <f>SUM(F14:F17)</f>
        <v>0</v>
      </c>
      <c r="G13" s="136">
        <f>SUM(G14:G17)</f>
        <v>0</v>
      </c>
      <c r="H13" s="136">
        <f>SUM(H14:H17)</f>
        <v>851510</v>
      </c>
      <c r="T13" s="280"/>
      <c r="U13" s="280"/>
      <c r="V13" s="280"/>
      <c r="W13" s="280"/>
      <c r="X13" s="280"/>
      <c r="Y13" s="280"/>
    </row>
    <row r="14" spans="1:25" s="43" customFormat="1" ht="21.75" customHeight="1">
      <c r="A14" s="120"/>
      <c r="B14" s="143"/>
      <c r="C14" s="120">
        <v>4210</v>
      </c>
      <c r="D14" s="68" t="s">
        <v>86</v>
      </c>
      <c r="E14" s="136">
        <v>22030</v>
      </c>
      <c r="F14" s="141"/>
      <c r="G14" s="141"/>
      <c r="H14" s="148">
        <f>SUM(E14+F14-G14)</f>
        <v>22030</v>
      </c>
      <c r="T14" s="280"/>
      <c r="U14" s="280"/>
      <c r="V14" s="280"/>
      <c r="W14" s="280"/>
      <c r="X14" s="280"/>
      <c r="Y14" s="280"/>
    </row>
    <row r="15" spans="1:25" s="43" customFormat="1" ht="21.75" customHeight="1">
      <c r="A15" s="120"/>
      <c r="B15" s="143"/>
      <c r="C15" s="120">
        <v>4270</v>
      </c>
      <c r="D15" s="68" t="s">
        <v>92</v>
      </c>
      <c r="E15" s="136">
        <v>82000</v>
      </c>
      <c r="F15" s="199"/>
      <c r="G15" s="199"/>
      <c r="H15" s="148">
        <f>SUM(E15+F15-G15)</f>
        <v>82000</v>
      </c>
      <c r="T15" s="280"/>
      <c r="U15" s="280"/>
      <c r="V15" s="280"/>
      <c r="W15" s="280"/>
      <c r="X15" s="280"/>
      <c r="Y15" s="280"/>
    </row>
    <row r="16" spans="1:25" s="43" customFormat="1" ht="21.75" customHeight="1">
      <c r="A16" s="120"/>
      <c r="B16" s="143"/>
      <c r="C16" s="120">
        <v>4300</v>
      </c>
      <c r="D16" s="68" t="s">
        <v>93</v>
      </c>
      <c r="E16" s="136">
        <f>158480-20000</f>
        <v>138480</v>
      </c>
      <c r="F16" s="141"/>
      <c r="G16" s="141"/>
      <c r="H16" s="148">
        <f>SUM(E16+F16-G16)</f>
        <v>138480</v>
      </c>
      <c r="T16" s="280"/>
      <c r="U16" s="280"/>
      <c r="V16" s="280"/>
      <c r="W16" s="280"/>
      <c r="X16" s="280"/>
      <c r="Y16" s="280"/>
    </row>
    <row r="17" spans="1:25" s="43" customFormat="1" ht="21.75" customHeight="1">
      <c r="A17" s="120"/>
      <c r="B17" s="143"/>
      <c r="C17" s="120">
        <v>6050</v>
      </c>
      <c r="D17" s="68" t="s">
        <v>87</v>
      </c>
      <c r="E17" s="136">
        <f>589000+20000</f>
        <v>609000</v>
      </c>
      <c r="F17" s="141"/>
      <c r="G17" s="141"/>
      <c r="H17" s="148">
        <f>SUM(E17+F17-G17)</f>
        <v>609000</v>
      </c>
      <c r="T17" s="280"/>
      <c r="U17" s="280"/>
      <c r="V17" s="280"/>
      <c r="W17" s="280"/>
      <c r="X17" s="280"/>
      <c r="Y17" s="280">
        <f>E17</f>
        <v>609000</v>
      </c>
    </row>
    <row r="18" spans="1:25" s="8" customFormat="1" ht="24.75" customHeight="1">
      <c r="A18" s="63" t="s">
        <v>11</v>
      </c>
      <c r="B18" s="64"/>
      <c r="C18" s="65"/>
      <c r="D18" s="66" t="s">
        <v>12</v>
      </c>
      <c r="E18" s="67">
        <f>SUM(E19,E21,E24,E26)</f>
        <v>364050</v>
      </c>
      <c r="F18" s="67">
        <f>SUM(F19,F21,F24,F26)</f>
        <v>0</v>
      </c>
      <c r="G18" s="67">
        <f>SUM(G19,G21,G24,G26)</f>
        <v>0</v>
      </c>
      <c r="H18" s="67">
        <f>SUM(H19,H21,H24,H26)</f>
        <v>364050</v>
      </c>
      <c r="T18" s="281"/>
      <c r="U18" s="281"/>
      <c r="V18" s="280"/>
      <c r="W18" s="280"/>
      <c r="X18" s="280"/>
      <c r="Y18" s="280"/>
    </row>
    <row r="19" spans="1:25" s="43" customFormat="1" ht="24">
      <c r="A19" s="120"/>
      <c r="B19" s="143">
        <v>70004</v>
      </c>
      <c r="C19" s="142"/>
      <c r="D19" s="68" t="s">
        <v>324</v>
      </c>
      <c r="E19" s="136">
        <f>SUM(E20)</f>
        <v>44000</v>
      </c>
      <c r="F19" s="136">
        <f>SUM(F20)</f>
        <v>0</v>
      </c>
      <c r="G19" s="136">
        <f>SUM(G20)</f>
        <v>0</v>
      </c>
      <c r="H19" s="136">
        <f>SUM(H20)</f>
        <v>44000</v>
      </c>
      <c r="T19" s="280"/>
      <c r="U19" s="280"/>
      <c r="V19" s="280"/>
      <c r="W19" s="280"/>
      <c r="X19" s="280"/>
      <c r="Y19" s="280"/>
    </row>
    <row r="20" spans="1:25" s="43" customFormat="1" ht="21.75" customHeight="1">
      <c r="A20" s="120"/>
      <c r="B20" s="143"/>
      <c r="C20" s="142">
        <v>4300</v>
      </c>
      <c r="D20" s="68" t="s">
        <v>93</v>
      </c>
      <c r="E20" s="136">
        <v>44000</v>
      </c>
      <c r="F20" s="136"/>
      <c r="G20" s="136"/>
      <c r="H20" s="148">
        <f>SUM(E20+F20-G20)</f>
        <v>44000</v>
      </c>
      <c r="T20" s="280"/>
      <c r="U20" s="280"/>
      <c r="V20" s="280"/>
      <c r="W20" s="280"/>
      <c r="X20" s="280"/>
      <c r="Y20" s="280"/>
    </row>
    <row r="21" spans="1:25" s="43" customFormat="1" ht="22.5" customHeight="1">
      <c r="A21" s="120"/>
      <c r="B21" s="138" t="s">
        <v>13</v>
      </c>
      <c r="C21" s="142"/>
      <c r="D21" s="68" t="s">
        <v>197</v>
      </c>
      <c r="E21" s="136">
        <f>SUM(E22:E23)</f>
        <v>89750</v>
      </c>
      <c r="F21" s="136">
        <f>SUM(F22:F23)</f>
        <v>0</v>
      </c>
      <c r="G21" s="136">
        <f>SUM(G22:G23)</f>
        <v>0</v>
      </c>
      <c r="H21" s="136">
        <f>SUM(H22:H23)</f>
        <v>89750</v>
      </c>
      <c r="T21" s="280"/>
      <c r="U21" s="280"/>
      <c r="V21" s="280"/>
      <c r="W21" s="280"/>
      <c r="X21" s="280"/>
      <c r="Y21" s="280"/>
    </row>
    <row r="22" spans="1:25" s="43" customFormat="1" ht="21.75" customHeight="1">
      <c r="A22" s="120"/>
      <c r="B22" s="138"/>
      <c r="C22" s="142">
        <v>4510</v>
      </c>
      <c r="D22" s="68" t="s">
        <v>191</v>
      </c>
      <c r="E22" s="136">
        <v>7750</v>
      </c>
      <c r="F22" s="141"/>
      <c r="G22" s="141"/>
      <c r="H22" s="148">
        <f aca="true" t="shared" si="1" ref="H22:H29">SUM(E22+F22-G22)</f>
        <v>7750</v>
      </c>
      <c r="T22" s="280"/>
      <c r="U22" s="280"/>
      <c r="V22" s="280"/>
      <c r="W22" s="280"/>
      <c r="X22" s="280"/>
      <c r="Y22" s="280"/>
    </row>
    <row r="23" spans="1:25" s="43" customFormat="1" ht="21.75" customHeight="1">
      <c r="A23" s="120"/>
      <c r="B23" s="143"/>
      <c r="C23" s="120">
        <v>4300</v>
      </c>
      <c r="D23" s="68" t="s">
        <v>93</v>
      </c>
      <c r="E23" s="136">
        <v>82000</v>
      </c>
      <c r="F23" s="141"/>
      <c r="G23" s="141"/>
      <c r="H23" s="148">
        <f t="shared" si="1"/>
        <v>82000</v>
      </c>
      <c r="T23" s="280"/>
      <c r="U23" s="280"/>
      <c r="V23" s="280"/>
      <c r="W23" s="280"/>
      <c r="X23" s="280"/>
      <c r="Y23" s="280"/>
    </row>
    <row r="24" spans="1:25" s="43" customFormat="1" ht="21.75" customHeight="1">
      <c r="A24" s="120"/>
      <c r="B24" s="143">
        <v>70021</v>
      </c>
      <c r="C24" s="120"/>
      <c r="D24" s="68" t="s">
        <v>265</v>
      </c>
      <c r="E24" s="136">
        <f>SUM(E25:E25)</f>
        <v>100000</v>
      </c>
      <c r="F24" s="136">
        <f>SUM(F25:F25)</f>
        <v>0</v>
      </c>
      <c r="G24" s="136">
        <f>SUM(G25:G25)</f>
        <v>0</v>
      </c>
      <c r="H24" s="136">
        <f>SUM(H25:H25)</f>
        <v>100000</v>
      </c>
      <c r="T24" s="280"/>
      <c r="U24" s="280"/>
      <c r="V24" s="280"/>
      <c r="W24" s="280"/>
      <c r="X24" s="280"/>
      <c r="Y24" s="280"/>
    </row>
    <row r="25" spans="1:25" s="43" customFormat="1" ht="21.75" customHeight="1">
      <c r="A25" s="120"/>
      <c r="B25" s="143"/>
      <c r="C25" s="120">
        <v>4300</v>
      </c>
      <c r="D25" s="68" t="s">
        <v>93</v>
      </c>
      <c r="E25" s="136">
        <v>100000</v>
      </c>
      <c r="F25" s="141"/>
      <c r="G25" s="141"/>
      <c r="H25" s="148">
        <f t="shared" si="1"/>
        <v>100000</v>
      </c>
      <c r="T25" s="280"/>
      <c r="U25" s="280"/>
      <c r="V25" s="280"/>
      <c r="W25" s="280"/>
      <c r="X25" s="280"/>
      <c r="Y25" s="280"/>
    </row>
    <row r="26" spans="1:25" s="43" customFormat="1" ht="21.75" customHeight="1">
      <c r="A26" s="120"/>
      <c r="B26" s="138">
        <v>70095</v>
      </c>
      <c r="C26" s="142"/>
      <c r="D26" s="68" t="s">
        <v>6</v>
      </c>
      <c r="E26" s="136">
        <f>SUM(E27:E29)</f>
        <v>130300</v>
      </c>
      <c r="F26" s="136">
        <f>SUM(F27:F29)</f>
        <v>0</v>
      </c>
      <c r="G26" s="136">
        <f>SUM(G27:G29)</f>
        <v>0</v>
      </c>
      <c r="H26" s="136">
        <f>SUM(H27:H29)</f>
        <v>130300</v>
      </c>
      <c r="T26" s="280"/>
      <c r="U26" s="280"/>
      <c r="V26" s="280"/>
      <c r="W26" s="280"/>
      <c r="X26" s="280"/>
      <c r="Y26" s="280"/>
    </row>
    <row r="27" spans="1:25" s="43" customFormat="1" ht="21.75" customHeight="1">
      <c r="A27" s="120"/>
      <c r="B27" s="138"/>
      <c r="C27" s="142">
        <v>4260</v>
      </c>
      <c r="D27" s="68" t="s">
        <v>109</v>
      </c>
      <c r="E27" s="136">
        <v>300</v>
      </c>
      <c r="F27" s="141"/>
      <c r="G27" s="141"/>
      <c r="H27" s="148">
        <f t="shared" si="1"/>
        <v>300</v>
      </c>
      <c r="T27" s="280"/>
      <c r="U27" s="280"/>
      <c r="V27" s="280"/>
      <c r="W27" s="280"/>
      <c r="X27" s="280"/>
      <c r="Y27" s="280"/>
    </row>
    <row r="28" spans="1:25" s="43" customFormat="1" ht="24">
      <c r="A28" s="120"/>
      <c r="B28" s="138"/>
      <c r="C28" s="142">
        <v>4590</v>
      </c>
      <c r="D28" s="68" t="s">
        <v>323</v>
      </c>
      <c r="E28" s="136">
        <v>30000</v>
      </c>
      <c r="F28" s="141"/>
      <c r="G28" s="141"/>
      <c r="H28" s="148">
        <f t="shared" si="1"/>
        <v>30000</v>
      </c>
      <c r="T28" s="280"/>
      <c r="U28" s="280"/>
      <c r="V28" s="280"/>
      <c r="W28" s="280"/>
      <c r="X28" s="280"/>
      <c r="Y28" s="280"/>
    </row>
    <row r="29" spans="1:25" s="43" customFormat="1" ht="21.75" customHeight="1">
      <c r="A29" s="120"/>
      <c r="B29" s="138"/>
      <c r="C29" s="120">
        <v>6050</v>
      </c>
      <c r="D29" s="68" t="s">
        <v>87</v>
      </c>
      <c r="E29" s="136">
        <v>100000</v>
      </c>
      <c r="F29" s="141"/>
      <c r="G29" s="141"/>
      <c r="H29" s="148">
        <f t="shared" si="1"/>
        <v>100000</v>
      </c>
      <c r="T29" s="280"/>
      <c r="U29" s="280"/>
      <c r="V29" s="280"/>
      <c r="W29" s="280"/>
      <c r="X29" s="280"/>
      <c r="Y29" s="280">
        <f>E29</f>
        <v>100000</v>
      </c>
    </row>
    <row r="30" spans="1:25" s="8" customFormat="1" ht="24.75" customHeight="1">
      <c r="A30" s="63" t="s">
        <v>16</v>
      </c>
      <c r="B30" s="64"/>
      <c r="C30" s="65"/>
      <c r="D30" s="66" t="s">
        <v>94</v>
      </c>
      <c r="E30" s="67">
        <f>SUM(E31,E34)</f>
        <v>152350</v>
      </c>
      <c r="F30" s="67">
        <f>SUM(F31,F34)</f>
        <v>0</v>
      </c>
      <c r="G30" s="67">
        <f>SUM(G31,G34)</f>
        <v>0</v>
      </c>
      <c r="H30" s="67">
        <f>SUM(H31,H34)</f>
        <v>152350</v>
      </c>
      <c r="T30" s="280"/>
      <c r="U30" s="280"/>
      <c r="V30" s="280"/>
      <c r="W30" s="280"/>
      <c r="X30" s="280"/>
      <c r="Y30" s="280"/>
    </row>
    <row r="31" spans="1:25" s="43" customFormat="1" ht="21.75" customHeight="1">
      <c r="A31" s="120"/>
      <c r="B31" s="138" t="s">
        <v>95</v>
      </c>
      <c r="C31" s="142"/>
      <c r="D31" s="68" t="s">
        <v>96</v>
      </c>
      <c r="E31" s="136">
        <f>SUM(E32:E33)</f>
        <v>150000</v>
      </c>
      <c r="F31" s="136">
        <f>SUM(F32:F33)</f>
        <v>0</v>
      </c>
      <c r="G31" s="136">
        <f>SUM(G32:G33)</f>
        <v>0</v>
      </c>
      <c r="H31" s="136">
        <f>SUM(H32:H33)</f>
        <v>150000</v>
      </c>
      <c r="T31" s="280"/>
      <c r="U31" s="280"/>
      <c r="V31" s="280"/>
      <c r="W31" s="280"/>
      <c r="X31" s="280"/>
      <c r="Y31" s="280"/>
    </row>
    <row r="32" spans="1:25" s="43" customFormat="1" ht="21.75" customHeight="1">
      <c r="A32" s="120"/>
      <c r="B32" s="138"/>
      <c r="C32" s="142">
        <v>4170</v>
      </c>
      <c r="D32" s="68" t="s">
        <v>299</v>
      </c>
      <c r="E32" s="136">
        <v>5000</v>
      </c>
      <c r="F32" s="141"/>
      <c r="G32" s="141"/>
      <c r="H32" s="148">
        <f>SUM(E32+F32-G32)</f>
        <v>5000</v>
      </c>
      <c r="T32" s="280"/>
      <c r="U32" s="280"/>
      <c r="V32" s="280"/>
      <c r="W32" s="280"/>
      <c r="X32" s="280">
        <f>E32</f>
        <v>5000</v>
      </c>
      <c r="Y32" s="280"/>
    </row>
    <row r="33" spans="1:25" s="43" customFormat="1" ht="21.75" customHeight="1">
      <c r="A33" s="120"/>
      <c r="B33" s="138"/>
      <c r="C33" s="120">
        <v>4300</v>
      </c>
      <c r="D33" s="68" t="s">
        <v>93</v>
      </c>
      <c r="E33" s="136">
        <v>145000</v>
      </c>
      <c r="F33" s="141"/>
      <c r="G33" s="141"/>
      <c r="H33" s="148">
        <f>SUM(E33+F33-G33)</f>
        <v>145000</v>
      </c>
      <c r="T33" s="280"/>
      <c r="U33" s="280"/>
      <c r="V33" s="280"/>
      <c r="W33" s="280"/>
      <c r="X33" s="280"/>
      <c r="Y33" s="280"/>
    </row>
    <row r="34" spans="1:25" s="43" customFormat="1" ht="20.25" customHeight="1">
      <c r="A34" s="120"/>
      <c r="B34" s="138">
        <v>71035</v>
      </c>
      <c r="C34" s="120"/>
      <c r="D34" s="68" t="s">
        <v>17</v>
      </c>
      <c r="E34" s="136">
        <f>SUM(E35:E36)</f>
        <v>2350</v>
      </c>
      <c r="F34" s="136">
        <f>SUM(F35:F36)</f>
        <v>0</v>
      </c>
      <c r="G34" s="136">
        <f>SUM(G35:G36)</f>
        <v>0</v>
      </c>
      <c r="H34" s="136">
        <f>SUM(H35:H36)</f>
        <v>2350</v>
      </c>
      <c r="T34" s="280"/>
      <c r="U34" s="280"/>
      <c r="V34" s="280"/>
      <c r="W34" s="280"/>
      <c r="X34" s="280"/>
      <c r="Y34" s="280"/>
    </row>
    <row r="35" spans="1:25" s="43" customFormat="1" ht="21" customHeight="1">
      <c r="A35" s="120"/>
      <c r="B35" s="138"/>
      <c r="C35" s="120">
        <v>4260</v>
      </c>
      <c r="D35" s="68" t="s">
        <v>109</v>
      </c>
      <c r="E35" s="136">
        <v>1350</v>
      </c>
      <c r="F35" s="141"/>
      <c r="G35" s="141"/>
      <c r="H35" s="148">
        <f>SUM(E35+F35-G35)</f>
        <v>1350</v>
      </c>
      <c r="T35" s="280"/>
      <c r="U35" s="280"/>
      <c r="V35" s="280"/>
      <c r="W35" s="280"/>
      <c r="X35" s="280"/>
      <c r="Y35" s="280"/>
    </row>
    <row r="36" spans="1:25" s="43" customFormat="1" ht="21" customHeight="1">
      <c r="A36" s="120"/>
      <c r="B36" s="138"/>
      <c r="C36" s="120">
        <v>4300</v>
      </c>
      <c r="D36" s="68" t="s">
        <v>93</v>
      </c>
      <c r="E36" s="136">
        <v>1000</v>
      </c>
      <c r="F36" s="141"/>
      <c r="G36" s="141"/>
      <c r="H36" s="148">
        <f>SUM(E36+F36-G36)</f>
        <v>1000</v>
      </c>
      <c r="T36" s="280"/>
      <c r="U36" s="280"/>
      <c r="V36" s="280"/>
      <c r="W36" s="280"/>
      <c r="X36" s="280"/>
      <c r="Y36" s="280"/>
    </row>
    <row r="37" spans="1:25" s="8" customFormat="1" ht="24.75" customHeight="1">
      <c r="A37" s="63" t="s">
        <v>18</v>
      </c>
      <c r="B37" s="64"/>
      <c r="C37" s="65"/>
      <c r="D37" s="66" t="s">
        <v>97</v>
      </c>
      <c r="E37" s="67">
        <f>SUM(E38,E44,E51,E70)</f>
        <v>4293518</v>
      </c>
      <c r="F37" s="67" t="e">
        <f>SUM(F38,F44,F51,#REF!,)</f>
        <v>#REF!</v>
      </c>
      <c r="G37" s="67" t="e">
        <f>SUM(G38,G44,G51,#REF!,)</f>
        <v>#REF!</v>
      </c>
      <c r="H37" s="67" t="e">
        <f>SUM(H38,H44,H51,#REF!,)</f>
        <v>#REF!</v>
      </c>
      <c r="T37" s="280"/>
      <c r="U37" s="280"/>
      <c r="V37" s="280"/>
      <c r="W37" s="280"/>
      <c r="X37" s="280"/>
      <c r="Y37" s="280"/>
    </row>
    <row r="38" spans="1:25" s="43" customFormat="1" ht="21.75" customHeight="1">
      <c r="A38" s="120"/>
      <c r="B38" s="138">
        <v>75011</v>
      </c>
      <c r="C38" s="142"/>
      <c r="D38" s="68" t="s">
        <v>20</v>
      </c>
      <c r="E38" s="136">
        <f>SUM(E39:E43)</f>
        <v>144800</v>
      </c>
      <c r="F38" s="136">
        <f>SUM(F39:F43)</f>
        <v>0</v>
      </c>
      <c r="G38" s="136">
        <f>SUM(G39:G43)</f>
        <v>0</v>
      </c>
      <c r="H38" s="136">
        <f>SUM(H39:H43)</f>
        <v>144800</v>
      </c>
      <c r="T38" s="280"/>
      <c r="U38" s="280"/>
      <c r="V38" s="280"/>
      <c r="W38" s="280"/>
      <c r="X38" s="280"/>
      <c r="Y38" s="280"/>
    </row>
    <row r="39" spans="1:25" s="43" customFormat="1" ht="21" customHeight="1">
      <c r="A39" s="120"/>
      <c r="B39" s="143"/>
      <c r="C39" s="120">
        <v>4010</v>
      </c>
      <c r="D39" s="68" t="s">
        <v>98</v>
      </c>
      <c r="E39" s="136">
        <v>102150</v>
      </c>
      <c r="F39" s="141"/>
      <c r="G39" s="141"/>
      <c r="H39" s="148">
        <f>SUM(E39+F39-G39)</f>
        <v>102150</v>
      </c>
      <c r="T39" s="280">
        <f>E39</f>
        <v>102150</v>
      </c>
      <c r="U39" s="280"/>
      <c r="V39" s="280"/>
      <c r="W39" s="280"/>
      <c r="X39" s="280"/>
      <c r="Y39" s="280"/>
    </row>
    <row r="40" spans="1:25" s="43" customFormat="1" ht="21" customHeight="1">
      <c r="A40" s="120"/>
      <c r="B40" s="143"/>
      <c r="C40" s="120">
        <v>4040</v>
      </c>
      <c r="D40" s="68" t="s">
        <v>99</v>
      </c>
      <c r="E40" s="136">
        <v>16000</v>
      </c>
      <c r="F40" s="141"/>
      <c r="G40" s="141"/>
      <c r="H40" s="148">
        <f>SUM(E40+F40-G40)</f>
        <v>16000</v>
      </c>
      <c r="T40" s="280"/>
      <c r="U40" s="280">
        <f>E40</f>
        <v>16000</v>
      </c>
      <c r="V40" s="280"/>
      <c r="W40" s="280"/>
      <c r="X40" s="280"/>
      <c r="Y40" s="280"/>
    </row>
    <row r="41" spans="1:25" s="43" customFormat="1" ht="21" customHeight="1">
      <c r="A41" s="120"/>
      <c r="B41" s="143"/>
      <c r="C41" s="120">
        <v>4110</v>
      </c>
      <c r="D41" s="68" t="s">
        <v>100</v>
      </c>
      <c r="E41" s="136">
        <v>17500</v>
      </c>
      <c r="F41" s="141"/>
      <c r="G41" s="141"/>
      <c r="H41" s="148">
        <f>SUM(E41+F41-G41)</f>
        <v>17500</v>
      </c>
      <c r="T41" s="280"/>
      <c r="U41" s="280"/>
      <c r="V41" s="280">
        <f>E41</f>
        <v>17500</v>
      </c>
      <c r="W41" s="280"/>
      <c r="X41" s="280"/>
      <c r="Y41" s="280"/>
    </row>
    <row r="42" spans="1:25" s="43" customFormat="1" ht="21" customHeight="1">
      <c r="A42" s="120"/>
      <c r="B42" s="143"/>
      <c r="C42" s="120">
        <v>4120</v>
      </c>
      <c r="D42" s="68" t="s">
        <v>101</v>
      </c>
      <c r="E42" s="136">
        <v>2500</v>
      </c>
      <c r="F42" s="141"/>
      <c r="G42" s="141"/>
      <c r="H42" s="148">
        <f>SUM(E42+F42-G42)</f>
        <v>2500</v>
      </c>
      <c r="T42" s="280"/>
      <c r="U42" s="280"/>
      <c r="V42" s="280"/>
      <c r="W42" s="280">
        <f>E42</f>
        <v>2500</v>
      </c>
      <c r="X42" s="280"/>
      <c r="Y42" s="280"/>
    </row>
    <row r="43" spans="1:25" s="43" customFormat="1" ht="21" customHeight="1">
      <c r="A43" s="120"/>
      <c r="B43" s="143"/>
      <c r="C43" s="123">
        <v>4440</v>
      </c>
      <c r="D43" s="68" t="s">
        <v>102</v>
      </c>
      <c r="E43" s="136">
        <v>6650</v>
      </c>
      <c r="F43" s="141"/>
      <c r="G43" s="141"/>
      <c r="H43" s="148">
        <f>SUM(E43+F43-G43)</f>
        <v>6650</v>
      </c>
      <c r="T43" s="280"/>
      <c r="U43" s="280"/>
      <c r="V43" s="280"/>
      <c r="W43" s="280"/>
      <c r="X43" s="280"/>
      <c r="Y43" s="280"/>
    </row>
    <row r="44" spans="1:25" s="43" customFormat="1" ht="21.75" customHeight="1">
      <c r="A44" s="142"/>
      <c r="B44" s="138" t="s">
        <v>105</v>
      </c>
      <c r="C44" s="142"/>
      <c r="D44" s="68" t="s">
        <v>198</v>
      </c>
      <c r="E44" s="136">
        <f>SUM(E45:E50)</f>
        <v>227000</v>
      </c>
      <c r="F44" s="136">
        <f>SUM(F45:F50)</f>
        <v>0</v>
      </c>
      <c r="G44" s="136">
        <f>SUM(G45:G50)</f>
        <v>0</v>
      </c>
      <c r="H44" s="136">
        <f>SUM(H45:H50)</f>
        <v>227000</v>
      </c>
      <c r="T44" s="280"/>
      <c r="U44" s="280"/>
      <c r="V44" s="280"/>
      <c r="W44" s="280"/>
      <c r="X44" s="280"/>
      <c r="Y44" s="280"/>
    </row>
    <row r="45" spans="1:25" s="43" customFormat="1" ht="21" customHeight="1">
      <c r="A45" s="142"/>
      <c r="B45" s="138"/>
      <c r="C45" s="120">
        <v>3030</v>
      </c>
      <c r="D45" s="68" t="s">
        <v>103</v>
      </c>
      <c r="E45" s="136">
        <v>182000</v>
      </c>
      <c r="F45" s="141"/>
      <c r="G45" s="141"/>
      <c r="H45" s="148">
        <f aca="true" t="shared" si="2" ref="H45:H50">SUM(E45+F45-G45)</f>
        <v>182000</v>
      </c>
      <c r="T45" s="280"/>
      <c r="U45" s="280"/>
      <c r="V45" s="280"/>
      <c r="W45" s="280"/>
      <c r="X45" s="280"/>
      <c r="Y45" s="280"/>
    </row>
    <row r="46" spans="1:25" s="43" customFormat="1" ht="21" customHeight="1">
      <c r="A46" s="142"/>
      <c r="B46" s="138"/>
      <c r="C46" s="120">
        <v>4170</v>
      </c>
      <c r="D46" s="68" t="s">
        <v>299</v>
      </c>
      <c r="E46" s="136">
        <v>2000</v>
      </c>
      <c r="F46" s="141"/>
      <c r="G46" s="141"/>
      <c r="H46" s="148">
        <f t="shared" si="2"/>
        <v>2000</v>
      </c>
      <c r="T46" s="280"/>
      <c r="U46" s="280"/>
      <c r="V46" s="280"/>
      <c r="W46" s="280"/>
      <c r="X46" s="280">
        <f>E46</f>
        <v>2000</v>
      </c>
      <c r="Y46" s="280"/>
    </row>
    <row r="47" spans="1:25" s="43" customFormat="1" ht="21" customHeight="1">
      <c r="A47" s="142"/>
      <c r="B47" s="138"/>
      <c r="C47" s="120">
        <v>4210</v>
      </c>
      <c r="D47" s="68" t="s">
        <v>106</v>
      </c>
      <c r="E47" s="136">
        <v>17500</v>
      </c>
      <c r="F47" s="141"/>
      <c r="G47" s="141"/>
      <c r="H47" s="148">
        <f t="shared" si="2"/>
        <v>17500</v>
      </c>
      <c r="T47" s="280"/>
      <c r="U47" s="280"/>
      <c r="V47" s="280"/>
      <c r="W47" s="280"/>
      <c r="X47" s="280"/>
      <c r="Y47" s="280"/>
    </row>
    <row r="48" spans="1:25" s="43" customFormat="1" ht="21" customHeight="1">
      <c r="A48" s="142"/>
      <c r="B48" s="138"/>
      <c r="C48" s="120">
        <v>4300</v>
      </c>
      <c r="D48" s="68" t="s">
        <v>93</v>
      </c>
      <c r="E48" s="136">
        <v>22000</v>
      </c>
      <c r="F48" s="141"/>
      <c r="G48" s="141"/>
      <c r="H48" s="148">
        <f t="shared" si="2"/>
        <v>22000</v>
      </c>
      <c r="T48" s="280"/>
      <c r="U48" s="280"/>
      <c r="V48" s="280"/>
      <c r="W48" s="280"/>
      <c r="X48" s="280"/>
      <c r="Y48" s="280"/>
    </row>
    <row r="49" spans="1:25" s="43" customFormat="1" ht="21" customHeight="1">
      <c r="A49" s="142"/>
      <c r="B49" s="138"/>
      <c r="C49" s="120">
        <v>4410</v>
      </c>
      <c r="D49" s="68" t="s">
        <v>104</v>
      </c>
      <c r="E49" s="136">
        <v>3000</v>
      </c>
      <c r="F49" s="141"/>
      <c r="G49" s="141"/>
      <c r="H49" s="148">
        <f t="shared" si="2"/>
        <v>3000</v>
      </c>
      <c r="T49" s="280"/>
      <c r="U49" s="280"/>
      <c r="V49" s="280"/>
      <c r="W49" s="280"/>
      <c r="X49" s="280"/>
      <c r="Y49" s="280"/>
    </row>
    <row r="50" spans="1:25" s="43" customFormat="1" ht="21" customHeight="1">
      <c r="A50" s="142"/>
      <c r="B50" s="138"/>
      <c r="C50" s="123">
        <v>4430</v>
      </c>
      <c r="D50" s="68" t="s">
        <v>108</v>
      </c>
      <c r="E50" s="136">
        <v>500</v>
      </c>
      <c r="F50" s="141"/>
      <c r="G50" s="141"/>
      <c r="H50" s="148">
        <f t="shared" si="2"/>
        <v>500</v>
      </c>
      <c r="T50" s="280"/>
      <c r="U50" s="280"/>
      <c r="V50" s="280"/>
      <c r="W50" s="280"/>
      <c r="X50" s="280"/>
      <c r="Y50" s="280"/>
    </row>
    <row r="51" spans="1:25" s="43" customFormat="1" ht="21.75" customHeight="1">
      <c r="A51" s="142"/>
      <c r="B51" s="138" t="s">
        <v>21</v>
      </c>
      <c r="C51" s="142"/>
      <c r="D51" s="68" t="s">
        <v>22</v>
      </c>
      <c r="E51" s="136">
        <f>SUM(E52:E69)</f>
        <v>3594480</v>
      </c>
      <c r="F51" s="136">
        <f>SUM(F52:F68)</f>
        <v>0</v>
      </c>
      <c r="G51" s="136">
        <f>SUM(G52:G68)</f>
        <v>0</v>
      </c>
      <c r="H51" s="136">
        <f>SUM(H52:H68)</f>
        <v>3564480</v>
      </c>
      <c r="T51" s="280"/>
      <c r="U51" s="280"/>
      <c r="V51" s="280"/>
      <c r="W51" s="280"/>
      <c r="X51" s="280"/>
      <c r="Y51" s="280"/>
    </row>
    <row r="52" spans="1:25" s="43" customFormat="1" ht="21" customHeight="1">
      <c r="A52" s="142"/>
      <c r="B52" s="138"/>
      <c r="C52" s="120">
        <v>3020</v>
      </c>
      <c r="D52" s="68" t="s">
        <v>292</v>
      </c>
      <c r="E52" s="136">
        <v>26500</v>
      </c>
      <c r="F52" s="141"/>
      <c r="G52" s="141"/>
      <c r="H52" s="148">
        <f aca="true" t="shared" si="3" ref="H52:H69">SUM(E52+F52-G52)</f>
        <v>26500</v>
      </c>
      <c r="T52" s="280"/>
      <c r="U52" s="280"/>
      <c r="V52" s="280"/>
      <c r="W52" s="280"/>
      <c r="X52" s="280"/>
      <c r="Y52" s="280"/>
    </row>
    <row r="53" spans="1:25" s="43" customFormat="1" ht="21" customHeight="1">
      <c r="A53" s="142"/>
      <c r="B53" s="138"/>
      <c r="C53" s="120">
        <v>3030</v>
      </c>
      <c r="D53" s="68" t="s">
        <v>103</v>
      </c>
      <c r="E53" s="136">
        <v>60000</v>
      </c>
      <c r="F53" s="141"/>
      <c r="G53" s="141"/>
      <c r="H53" s="148">
        <f t="shared" si="3"/>
        <v>60000</v>
      </c>
      <c r="T53" s="280"/>
      <c r="U53" s="280"/>
      <c r="V53" s="280"/>
      <c r="W53" s="280"/>
      <c r="X53" s="280"/>
      <c r="Y53" s="280"/>
    </row>
    <row r="54" spans="1:25" s="43" customFormat="1" ht="21" customHeight="1">
      <c r="A54" s="142"/>
      <c r="B54" s="138"/>
      <c r="C54" s="120">
        <v>4010</v>
      </c>
      <c r="D54" s="68" t="s">
        <v>98</v>
      </c>
      <c r="E54" s="136">
        <v>2145200</v>
      </c>
      <c r="F54" s="141"/>
      <c r="G54" s="141"/>
      <c r="H54" s="148">
        <f t="shared" si="3"/>
        <v>2145200</v>
      </c>
      <c r="T54" s="280">
        <f>E54</f>
        <v>2145200</v>
      </c>
      <c r="U54" s="280"/>
      <c r="V54" s="280"/>
      <c r="W54" s="280"/>
      <c r="X54" s="280"/>
      <c r="Y54" s="280"/>
    </row>
    <row r="55" spans="1:25" s="43" customFormat="1" ht="21" customHeight="1">
      <c r="A55" s="142"/>
      <c r="B55" s="138"/>
      <c r="C55" s="120">
        <v>4040</v>
      </c>
      <c r="D55" s="68" t="s">
        <v>99</v>
      </c>
      <c r="E55" s="136">
        <v>110000</v>
      </c>
      <c r="F55" s="141"/>
      <c r="G55" s="141"/>
      <c r="H55" s="148">
        <f t="shared" si="3"/>
        <v>110000</v>
      </c>
      <c r="T55" s="280"/>
      <c r="U55" s="280">
        <f>E55</f>
        <v>110000</v>
      </c>
      <c r="V55" s="280"/>
      <c r="W55" s="280"/>
      <c r="X55" s="280"/>
      <c r="Y55" s="280"/>
    </row>
    <row r="56" spans="1:25" s="43" customFormat="1" ht="21" customHeight="1">
      <c r="A56" s="142"/>
      <c r="B56" s="138"/>
      <c r="C56" s="120">
        <v>4110</v>
      </c>
      <c r="D56" s="68" t="s">
        <v>100</v>
      </c>
      <c r="E56" s="136">
        <v>377000</v>
      </c>
      <c r="F56" s="141"/>
      <c r="G56" s="141"/>
      <c r="H56" s="148">
        <f t="shared" si="3"/>
        <v>377000</v>
      </c>
      <c r="T56" s="280"/>
      <c r="U56" s="280"/>
      <c r="V56" s="280">
        <f>E56</f>
        <v>377000</v>
      </c>
      <c r="W56" s="280"/>
      <c r="X56" s="280"/>
      <c r="Y56" s="280"/>
    </row>
    <row r="57" spans="1:25" s="43" customFormat="1" ht="21" customHeight="1">
      <c r="A57" s="142"/>
      <c r="B57" s="138"/>
      <c r="C57" s="120">
        <v>4120</v>
      </c>
      <c r="D57" s="68" t="s">
        <v>101</v>
      </c>
      <c r="E57" s="136">
        <v>53600</v>
      </c>
      <c r="F57" s="141"/>
      <c r="G57" s="141"/>
      <c r="H57" s="148">
        <f t="shared" si="3"/>
        <v>53600</v>
      </c>
      <c r="T57" s="280"/>
      <c r="U57" s="280"/>
      <c r="V57" s="280"/>
      <c r="W57" s="280">
        <f>E57</f>
        <v>53600</v>
      </c>
      <c r="X57" s="280"/>
      <c r="Y57" s="280"/>
    </row>
    <row r="58" spans="1:25" s="43" customFormat="1" ht="21" customHeight="1">
      <c r="A58" s="142"/>
      <c r="B58" s="138"/>
      <c r="C58" s="120">
        <v>4170</v>
      </c>
      <c r="D58" s="68" t="s">
        <v>299</v>
      </c>
      <c r="E58" s="136">
        <v>12500</v>
      </c>
      <c r="F58" s="141"/>
      <c r="G58" s="141"/>
      <c r="H58" s="148">
        <f t="shared" si="3"/>
        <v>12500</v>
      </c>
      <c r="T58" s="280"/>
      <c r="U58" s="280"/>
      <c r="V58" s="280"/>
      <c r="W58" s="280"/>
      <c r="X58" s="280">
        <f>E58</f>
        <v>12500</v>
      </c>
      <c r="Y58" s="280"/>
    </row>
    <row r="59" spans="1:25" s="43" customFormat="1" ht="21" customHeight="1">
      <c r="A59" s="142"/>
      <c r="B59" s="138"/>
      <c r="C59" s="120">
        <v>4210</v>
      </c>
      <c r="D59" s="68" t="s">
        <v>106</v>
      </c>
      <c r="E59" s="136">
        <f>188200+1400</f>
        <v>189600</v>
      </c>
      <c r="F59" s="141"/>
      <c r="G59" s="141"/>
      <c r="H59" s="148">
        <f t="shared" si="3"/>
        <v>189600</v>
      </c>
      <c r="T59" s="280"/>
      <c r="U59" s="280"/>
      <c r="V59" s="280"/>
      <c r="W59" s="280"/>
      <c r="X59" s="280"/>
      <c r="Y59" s="280"/>
    </row>
    <row r="60" spans="1:25" s="43" customFormat="1" ht="21" customHeight="1">
      <c r="A60" s="142"/>
      <c r="B60" s="138"/>
      <c r="C60" s="120">
        <v>4260</v>
      </c>
      <c r="D60" s="68" t="s">
        <v>109</v>
      </c>
      <c r="E60" s="136">
        <v>79500</v>
      </c>
      <c r="F60" s="141"/>
      <c r="G60" s="141"/>
      <c r="H60" s="148">
        <f t="shared" si="3"/>
        <v>79500</v>
      </c>
      <c r="T60" s="280"/>
      <c r="U60" s="280"/>
      <c r="V60" s="280"/>
      <c r="W60" s="280"/>
      <c r="X60" s="280"/>
      <c r="Y60" s="280"/>
    </row>
    <row r="61" spans="1:25" s="43" customFormat="1" ht="21" customHeight="1">
      <c r="A61" s="142"/>
      <c r="B61" s="138"/>
      <c r="C61" s="120">
        <v>4270</v>
      </c>
      <c r="D61" s="68" t="s">
        <v>92</v>
      </c>
      <c r="E61" s="136">
        <v>14000</v>
      </c>
      <c r="F61" s="141"/>
      <c r="G61" s="141"/>
      <c r="H61" s="148">
        <f t="shared" si="3"/>
        <v>14000</v>
      </c>
      <c r="T61" s="280"/>
      <c r="U61" s="280"/>
      <c r="V61" s="280"/>
      <c r="W61" s="280"/>
      <c r="X61" s="280"/>
      <c r="Y61" s="280"/>
    </row>
    <row r="62" spans="1:25" s="43" customFormat="1" ht="21" customHeight="1">
      <c r="A62" s="142"/>
      <c r="B62" s="138"/>
      <c r="C62" s="120">
        <v>4280</v>
      </c>
      <c r="D62" s="68" t="s">
        <v>371</v>
      </c>
      <c r="E62" s="136">
        <v>8000</v>
      </c>
      <c r="F62" s="141"/>
      <c r="G62" s="141"/>
      <c r="H62" s="148">
        <f t="shared" si="3"/>
        <v>8000</v>
      </c>
      <c r="T62" s="280"/>
      <c r="U62" s="280"/>
      <c r="V62" s="280"/>
      <c r="W62" s="280"/>
      <c r="X62" s="280"/>
      <c r="Y62" s="280"/>
    </row>
    <row r="63" spans="1:25" s="43" customFormat="1" ht="21" customHeight="1">
      <c r="A63" s="142"/>
      <c r="B63" s="138"/>
      <c r="C63" s="120">
        <v>4300</v>
      </c>
      <c r="D63" s="68" t="s">
        <v>93</v>
      </c>
      <c r="E63" s="136">
        <f>357550+8630-30000</f>
        <v>336180</v>
      </c>
      <c r="F63" s="141"/>
      <c r="G63" s="141"/>
      <c r="H63" s="148">
        <f t="shared" si="3"/>
        <v>336180</v>
      </c>
      <c r="T63" s="280"/>
      <c r="U63" s="280"/>
      <c r="V63" s="280"/>
      <c r="W63" s="280"/>
      <c r="X63" s="280"/>
      <c r="Y63" s="280"/>
    </row>
    <row r="64" spans="1:25" s="43" customFormat="1" ht="21" customHeight="1">
      <c r="A64" s="142"/>
      <c r="B64" s="138"/>
      <c r="C64" s="120">
        <v>4350</v>
      </c>
      <c r="D64" s="68" t="s">
        <v>347</v>
      </c>
      <c r="E64" s="136">
        <v>4000</v>
      </c>
      <c r="F64" s="141"/>
      <c r="G64" s="141"/>
      <c r="H64" s="148">
        <f t="shared" si="3"/>
        <v>4000</v>
      </c>
      <c r="T64" s="280"/>
      <c r="U64" s="280"/>
      <c r="V64" s="280"/>
      <c r="W64" s="280"/>
      <c r="X64" s="280"/>
      <c r="Y64" s="280"/>
    </row>
    <row r="65" spans="1:25" s="43" customFormat="1" ht="21" customHeight="1">
      <c r="A65" s="142"/>
      <c r="B65" s="138"/>
      <c r="C65" s="120">
        <v>4410</v>
      </c>
      <c r="D65" s="68" t="s">
        <v>104</v>
      </c>
      <c r="E65" s="136">
        <v>44000</v>
      </c>
      <c r="F65" s="141"/>
      <c r="G65" s="141"/>
      <c r="H65" s="148">
        <f t="shared" si="3"/>
        <v>44000</v>
      </c>
      <c r="T65" s="280"/>
      <c r="U65" s="280"/>
      <c r="V65" s="280"/>
      <c r="W65" s="280"/>
      <c r="X65" s="280"/>
      <c r="Y65" s="280"/>
    </row>
    <row r="66" spans="1:25" s="43" customFormat="1" ht="21" customHeight="1">
      <c r="A66" s="142"/>
      <c r="B66" s="138"/>
      <c r="C66" s="142">
        <v>4420</v>
      </c>
      <c r="D66" s="68" t="s">
        <v>107</v>
      </c>
      <c r="E66" s="136">
        <v>5000</v>
      </c>
      <c r="F66" s="141"/>
      <c r="G66" s="141"/>
      <c r="H66" s="148">
        <f t="shared" si="3"/>
        <v>5000</v>
      </c>
      <c r="T66" s="280"/>
      <c r="U66" s="280"/>
      <c r="V66" s="280"/>
      <c r="W66" s="280"/>
      <c r="X66" s="280"/>
      <c r="Y66" s="280"/>
    </row>
    <row r="67" spans="1:25" s="43" customFormat="1" ht="21" customHeight="1">
      <c r="A67" s="142"/>
      <c r="B67" s="138"/>
      <c r="C67" s="123">
        <v>4430</v>
      </c>
      <c r="D67" s="68" t="s">
        <v>108</v>
      </c>
      <c r="E67" s="136">
        <v>47300</v>
      </c>
      <c r="F67" s="141"/>
      <c r="G67" s="141"/>
      <c r="H67" s="148">
        <f t="shared" si="3"/>
        <v>47300</v>
      </c>
      <c r="T67" s="280"/>
      <c r="U67" s="280"/>
      <c r="V67" s="280"/>
      <c r="W67" s="280"/>
      <c r="X67" s="280"/>
      <c r="Y67" s="280"/>
    </row>
    <row r="68" spans="1:25" s="43" customFormat="1" ht="21" customHeight="1">
      <c r="A68" s="142"/>
      <c r="B68" s="138"/>
      <c r="C68" s="123">
        <v>4440</v>
      </c>
      <c r="D68" s="68" t="s">
        <v>102</v>
      </c>
      <c r="E68" s="136">
        <v>52100</v>
      </c>
      <c r="F68" s="141"/>
      <c r="G68" s="141"/>
      <c r="H68" s="148">
        <f t="shared" si="3"/>
        <v>52100</v>
      </c>
      <c r="T68" s="280"/>
      <c r="U68" s="280"/>
      <c r="V68" s="280"/>
      <c r="W68" s="280"/>
      <c r="X68" s="280"/>
      <c r="Y68" s="280"/>
    </row>
    <row r="69" spans="1:25" s="43" customFormat="1" ht="21" customHeight="1">
      <c r="A69" s="142"/>
      <c r="B69" s="138"/>
      <c r="C69" s="123">
        <v>6060</v>
      </c>
      <c r="D69" s="68" t="s">
        <v>110</v>
      </c>
      <c r="E69" s="136">
        <v>30000</v>
      </c>
      <c r="F69" s="141"/>
      <c r="G69" s="141"/>
      <c r="H69" s="148">
        <f t="shared" si="3"/>
        <v>30000</v>
      </c>
      <c r="T69" s="280"/>
      <c r="U69" s="280"/>
      <c r="V69" s="280"/>
      <c r="W69" s="280"/>
      <c r="X69" s="280"/>
      <c r="Y69" s="280">
        <f>E69</f>
        <v>30000</v>
      </c>
    </row>
    <row r="70" spans="1:25" s="43" customFormat="1" ht="24" customHeight="1">
      <c r="A70" s="142"/>
      <c r="B70" s="138">
        <v>75075</v>
      </c>
      <c r="C70" s="142"/>
      <c r="D70" s="68" t="s">
        <v>341</v>
      </c>
      <c r="E70" s="136">
        <f>E71+E72+E73+E74+E75+E76+E77+E78</f>
        <v>327238</v>
      </c>
      <c r="F70" s="141"/>
      <c r="G70" s="141"/>
      <c r="H70" s="148"/>
      <c r="T70" s="280"/>
      <c r="U70" s="280"/>
      <c r="V70" s="280"/>
      <c r="W70" s="280"/>
      <c r="X70" s="280"/>
      <c r="Y70" s="280"/>
    </row>
    <row r="71" spans="1:25" s="43" customFormat="1" ht="21" customHeight="1">
      <c r="A71" s="142"/>
      <c r="B71" s="138"/>
      <c r="C71" s="142">
        <v>3020</v>
      </c>
      <c r="D71" s="68" t="s">
        <v>292</v>
      </c>
      <c r="E71" s="136">
        <v>10100</v>
      </c>
      <c r="F71" s="141"/>
      <c r="G71" s="141"/>
      <c r="H71" s="148">
        <f aca="true" t="shared" si="4" ref="H71:H78">SUM(E71+F71-G71)</f>
        <v>10100</v>
      </c>
      <c r="T71" s="280"/>
      <c r="U71" s="280"/>
      <c r="V71" s="280"/>
      <c r="W71" s="280"/>
      <c r="X71" s="280"/>
      <c r="Y71" s="280"/>
    </row>
    <row r="72" spans="1:25" s="43" customFormat="1" ht="21" customHeight="1">
      <c r="A72" s="142"/>
      <c r="B72" s="138"/>
      <c r="C72" s="142">
        <v>4170</v>
      </c>
      <c r="D72" s="68" t="s">
        <v>299</v>
      </c>
      <c r="E72" s="136">
        <f>4000+1600</f>
        <v>5600</v>
      </c>
      <c r="F72" s="141"/>
      <c r="G72" s="141"/>
      <c r="H72" s="148">
        <f t="shared" si="4"/>
        <v>5600</v>
      </c>
      <c r="T72" s="280"/>
      <c r="U72" s="280"/>
      <c r="V72" s="280"/>
      <c r="W72" s="280"/>
      <c r="X72" s="280">
        <f>E72</f>
        <v>5600</v>
      </c>
      <c r="Y72" s="280"/>
    </row>
    <row r="73" spans="1:25" s="43" customFormat="1" ht="21" customHeight="1">
      <c r="A73" s="142"/>
      <c r="B73" s="138"/>
      <c r="C73" s="142">
        <v>4210</v>
      </c>
      <c r="D73" s="68" t="s">
        <v>106</v>
      </c>
      <c r="E73" s="136">
        <f>99688+21150</f>
        <v>120838</v>
      </c>
      <c r="F73" s="141"/>
      <c r="G73" s="141"/>
      <c r="H73" s="148">
        <f t="shared" si="4"/>
        <v>120838</v>
      </c>
      <c r="T73" s="280"/>
      <c r="U73" s="280"/>
      <c r="V73" s="280"/>
      <c r="W73" s="280"/>
      <c r="X73" s="280"/>
      <c r="Y73" s="280"/>
    </row>
    <row r="74" spans="1:25" s="43" customFormat="1" ht="21" customHeight="1">
      <c r="A74" s="142"/>
      <c r="B74" s="138"/>
      <c r="C74" s="120">
        <v>4300</v>
      </c>
      <c r="D74" s="68" t="s">
        <v>93</v>
      </c>
      <c r="E74" s="136">
        <f>173000+3700</f>
        <v>176700</v>
      </c>
      <c r="F74" s="141"/>
      <c r="G74" s="141"/>
      <c r="H74" s="148">
        <f t="shared" si="4"/>
        <v>176700</v>
      </c>
      <c r="T74" s="280"/>
      <c r="U74" s="280"/>
      <c r="V74" s="280"/>
      <c r="W74" s="280"/>
      <c r="X74" s="280"/>
      <c r="Y74" s="280"/>
    </row>
    <row r="75" spans="1:25" s="43" customFormat="1" ht="21" customHeight="1">
      <c r="A75" s="142"/>
      <c r="B75" s="138"/>
      <c r="C75" s="120">
        <v>4350</v>
      </c>
      <c r="D75" s="68" t="s">
        <v>343</v>
      </c>
      <c r="E75" s="136">
        <v>2500</v>
      </c>
      <c r="F75" s="141"/>
      <c r="G75" s="141"/>
      <c r="H75" s="148">
        <f t="shared" si="4"/>
        <v>2500</v>
      </c>
      <c r="T75" s="280"/>
      <c r="U75" s="280"/>
      <c r="V75" s="280"/>
      <c r="W75" s="280"/>
      <c r="X75" s="280"/>
      <c r="Y75" s="280"/>
    </row>
    <row r="76" spans="1:25" s="43" customFormat="1" ht="21" customHeight="1">
      <c r="A76" s="142"/>
      <c r="B76" s="138"/>
      <c r="C76" s="120">
        <v>4410</v>
      </c>
      <c r="D76" s="68" t="s">
        <v>104</v>
      </c>
      <c r="E76" s="136">
        <v>1000</v>
      </c>
      <c r="F76" s="141"/>
      <c r="G76" s="141"/>
      <c r="H76" s="148">
        <f t="shared" si="4"/>
        <v>1000</v>
      </c>
      <c r="T76" s="280"/>
      <c r="U76" s="280"/>
      <c r="V76" s="280"/>
      <c r="W76" s="280"/>
      <c r="X76" s="280"/>
      <c r="Y76" s="280"/>
    </row>
    <row r="77" spans="1:25" s="43" customFormat="1" ht="21" customHeight="1">
      <c r="A77" s="142"/>
      <c r="B77" s="138"/>
      <c r="C77" s="142">
        <v>4420</v>
      </c>
      <c r="D77" s="68" t="s">
        <v>107</v>
      </c>
      <c r="E77" s="136">
        <v>10000</v>
      </c>
      <c r="F77" s="141"/>
      <c r="G77" s="141"/>
      <c r="H77" s="148">
        <f t="shared" si="4"/>
        <v>10000</v>
      </c>
      <c r="T77" s="280"/>
      <c r="U77" s="280"/>
      <c r="V77" s="280"/>
      <c r="W77" s="280"/>
      <c r="X77" s="280"/>
      <c r="Y77" s="280"/>
    </row>
    <row r="78" spans="1:25" s="43" customFormat="1" ht="21" customHeight="1">
      <c r="A78" s="142"/>
      <c r="B78" s="138"/>
      <c r="C78" s="120">
        <v>4430</v>
      </c>
      <c r="D78" s="68" t="s">
        <v>108</v>
      </c>
      <c r="E78" s="136">
        <v>500</v>
      </c>
      <c r="F78" s="141"/>
      <c r="G78" s="141"/>
      <c r="H78" s="148">
        <f t="shared" si="4"/>
        <v>500</v>
      </c>
      <c r="T78" s="280"/>
      <c r="U78" s="280"/>
      <c r="V78" s="280"/>
      <c r="W78" s="280"/>
      <c r="X78" s="280"/>
      <c r="Y78" s="280"/>
    </row>
    <row r="79" spans="1:25" s="8" customFormat="1" ht="45" customHeight="1">
      <c r="A79" s="63">
        <v>751</v>
      </c>
      <c r="B79" s="64"/>
      <c r="C79" s="65"/>
      <c r="D79" s="66" t="s">
        <v>112</v>
      </c>
      <c r="E79" s="67">
        <f>SUM(E80)</f>
        <v>3930</v>
      </c>
      <c r="F79" s="67" t="e">
        <f>SUM(F80,#REF!)</f>
        <v>#REF!</v>
      </c>
      <c r="G79" s="67" t="e">
        <f>SUM(G80,#REF!)</f>
        <v>#REF!</v>
      </c>
      <c r="H79" s="67" t="e">
        <f>SUM(H80,#REF!)</f>
        <v>#REF!</v>
      </c>
      <c r="T79" s="280"/>
      <c r="U79" s="280"/>
      <c r="V79" s="280"/>
      <c r="W79" s="280"/>
      <c r="X79" s="280"/>
      <c r="Y79" s="280"/>
    </row>
    <row r="80" spans="1:25" s="43" customFormat="1" ht="32.25" customHeight="1">
      <c r="A80" s="142"/>
      <c r="B80" s="138">
        <v>75101</v>
      </c>
      <c r="C80" s="142"/>
      <c r="D80" s="68" t="s">
        <v>24</v>
      </c>
      <c r="E80" s="136">
        <f>SUM(E81:E82)</f>
        <v>3930</v>
      </c>
      <c r="F80" s="136">
        <f>SUM(F81:F82)</f>
        <v>0</v>
      </c>
      <c r="G80" s="136">
        <f>SUM(G81:G82)</f>
        <v>0</v>
      </c>
      <c r="H80" s="136">
        <f>SUM(H81:H82)</f>
        <v>3930</v>
      </c>
      <c r="T80" s="280"/>
      <c r="U80" s="280"/>
      <c r="V80" s="280"/>
      <c r="W80" s="280"/>
      <c r="X80" s="280"/>
      <c r="Y80" s="280"/>
    </row>
    <row r="81" spans="1:25" s="43" customFormat="1" ht="21" customHeight="1">
      <c r="A81" s="142"/>
      <c r="B81" s="138"/>
      <c r="C81" s="120">
        <v>4210</v>
      </c>
      <c r="D81" s="68" t="s">
        <v>106</v>
      </c>
      <c r="E81" s="136">
        <v>1930</v>
      </c>
      <c r="F81" s="141"/>
      <c r="G81" s="141"/>
      <c r="H81" s="148">
        <f>SUM(E81+F81-G81)</f>
        <v>1930</v>
      </c>
      <c r="T81" s="280"/>
      <c r="U81" s="280"/>
      <c r="V81" s="280"/>
      <c r="W81" s="280"/>
      <c r="X81" s="280"/>
      <c r="Y81" s="280"/>
    </row>
    <row r="82" spans="1:25" s="43" customFormat="1" ht="21" customHeight="1">
      <c r="A82" s="142"/>
      <c r="B82" s="138"/>
      <c r="C82" s="120">
        <v>4300</v>
      </c>
      <c r="D82" s="68" t="s">
        <v>93</v>
      </c>
      <c r="E82" s="136">
        <v>2000</v>
      </c>
      <c r="F82" s="141"/>
      <c r="G82" s="141"/>
      <c r="H82" s="148">
        <f>SUM(E82+F82-G82)</f>
        <v>2000</v>
      </c>
      <c r="T82" s="280"/>
      <c r="U82" s="280"/>
      <c r="V82" s="280"/>
      <c r="W82" s="280"/>
      <c r="X82" s="280"/>
      <c r="Y82" s="280"/>
    </row>
    <row r="83" spans="1:25" s="8" customFormat="1" ht="24.75" customHeight="1">
      <c r="A83" s="63" t="s">
        <v>25</v>
      </c>
      <c r="B83" s="64"/>
      <c r="C83" s="65"/>
      <c r="D83" s="66" t="s">
        <v>113</v>
      </c>
      <c r="E83" s="67">
        <f>SUM(E84,E97,E99,E112,)</f>
        <v>306600</v>
      </c>
      <c r="F83" s="67">
        <f>SUM(F84,F97,F99,F112,)</f>
        <v>0</v>
      </c>
      <c r="G83" s="67">
        <f>SUM(G84,G97,G99,G112,)</f>
        <v>0</v>
      </c>
      <c r="H83" s="67">
        <f>SUM(H84,H97,H99,H112,)</f>
        <v>306000</v>
      </c>
      <c r="T83" s="280"/>
      <c r="U83" s="280">
        <v>203050</v>
      </c>
      <c r="V83" s="280"/>
      <c r="W83" s="280"/>
      <c r="X83" s="280"/>
      <c r="Y83" s="280"/>
    </row>
    <row r="84" spans="1:25" s="43" customFormat="1" ht="21.75" customHeight="1">
      <c r="A84" s="142"/>
      <c r="B84" s="138" t="s">
        <v>114</v>
      </c>
      <c r="C84" s="142"/>
      <c r="D84" s="68" t="s">
        <v>115</v>
      </c>
      <c r="E84" s="136">
        <f>SUM(E85:E96)</f>
        <v>153100</v>
      </c>
      <c r="F84" s="136">
        <f>SUM(F85:F96)</f>
        <v>0</v>
      </c>
      <c r="G84" s="136">
        <f>SUM(G85:G96)</f>
        <v>0</v>
      </c>
      <c r="H84" s="136">
        <f>SUM(H85:H96)</f>
        <v>152500</v>
      </c>
      <c r="T84" s="280"/>
      <c r="U84" s="280"/>
      <c r="V84" s="280"/>
      <c r="W84" s="280"/>
      <c r="X84" s="280"/>
      <c r="Y84" s="280"/>
    </row>
    <row r="85" spans="1:25" s="43" customFormat="1" ht="21" customHeight="1">
      <c r="A85" s="142"/>
      <c r="B85" s="138"/>
      <c r="C85" s="142">
        <v>3020</v>
      </c>
      <c r="D85" s="68" t="s">
        <v>292</v>
      </c>
      <c r="E85" s="136">
        <v>10400</v>
      </c>
      <c r="F85" s="136"/>
      <c r="G85" s="136"/>
      <c r="H85" s="148">
        <f aca="true" t="shared" si="5" ref="H85:H96">SUM(E85+F85-G85)</f>
        <v>10400</v>
      </c>
      <c r="T85" s="280"/>
      <c r="U85" s="280"/>
      <c r="V85" s="280"/>
      <c r="W85" s="280"/>
      <c r="X85" s="280"/>
      <c r="Y85" s="280"/>
    </row>
    <row r="86" spans="1:25" s="43" customFormat="1" ht="21" customHeight="1">
      <c r="A86" s="142"/>
      <c r="B86" s="138"/>
      <c r="C86" s="142">
        <v>4110</v>
      </c>
      <c r="D86" s="68" t="s">
        <v>100</v>
      </c>
      <c r="E86" s="136">
        <v>3600</v>
      </c>
      <c r="F86" s="136"/>
      <c r="G86" s="136"/>
      <c r="H86" s="148">
        <f t="shared" si="5"/>
        <v>3600</v>
      </c>
      <c r="T86" s="280"/>
      <c r="U86" s="280"/>
      <c r="V86" s="280">
        <f>E86</f>
        <v>3600</v>
      </c>
      <c r="W86" s="280"/>
      <c r="X86" s="280"/>
      <c r="Y86" s="280"/>
    </row>
    <row r="87" spans="1:25" s="43" customFormat="1" ht="21" customHeight="1">
      <c r="A87" s="142"/>
      <c r="B87" s="138"/>
      <c r="C87" s="142">
        <v>4120</v>
      </c>
      <c r="D87" s="68" t="s">
        <v>372</v>
      </c>
      <c r="E87" s="136">
        <v>600</v>
      </c>
      <c r="F87" s="136"/>
      <c r="G87" s="136"/>
      <c r="H87" s="148"/>
      <c r="T87" s="280"/>
      <c r="U87" s="280"/>
      <c r="V87" s="280"/>
      <c r="W87" s="280">
        <f>E87</f>
        <v>600</v>
      </c>
      <c r="X87" s="280"/>
      <c r="Y87" s="280"/>
    </row>
    <row r="88" spans="1:25" s="43" customFormat="1" ht="21" customHeight="1">
      <c r="A88" s="142"/>
      <c r="B88" s="138"/>
      <c r="C88" s="120">
        <v>4170</v>
      </c>
      <c r="D88" s="68" t="s">
        <v>299</v>
      </c>
      <c r="E88" s="136">
        <v>21000</v>
      </c>
      <c r="F88" s="199"/>
      <c r="G88" s="199"/>
      <c r="H88" s="148">
        <f t="shared" si="5"/>
        <v>21000</v>
      </c>
      <c r="T88" s="280"/>
      <c r="U88" s="280"/>
      <c r="V88" s="280"/>
      <c r="W88" s="280"/>
      <c r="X88" s="280">
        <f>E88</f>
        <v>21000</v>
      </c>
      <c r="Y88" s="280"/>
    </row>
    <row r="89" spans="1:25" s="43" customFormat="1" ht="21" customHeight="1">
      <c r="A89" s="142"/>
      <c r="B89" s="138"/>
      <c r="C89" s="120">
        <v>4210</v>
      </c>
      <c r="D89" s="68" t="s">
        <v>106</v>
      </c>
      <c r="E89" s="136">
        <f>16900+5000</f>
        <v>21900</v>
      </c>
      <c r="F89" s="199"/>
      <c r="G89" s="199"/>
      <c r="H89" s="148">
        <f t="shared" si="5"/>
        <v>21900</v>
      </c>
      <c r="T89" s="280"/>
      <c r="U89" s="280"/>
      <c r="V89" s="280"/>
      <c r="W89" s="280"/>
      <c r="X89" s="280"/>
      <c r="Y89" s="280"/>
    </row>
    <row r="90" spans="1:25" s="43" customFormat="1" ht="21" customHeight="1">
      <c r="A90" s="142"/>
      <c r="B90" s="138"/>
      <c r="C90" s="120">
        <v>4260</v>
      </c>
      <c r="D90" s="68" t="s">
        <v>109</v>
      </c>
      <c r="E90" s="136">
        <v>6400</v>
      </c>
      <c r="F90" s="199"/>
      <c r="G90" s="199"/>
      <c r="H90" s="148">
        <f t="shared" si="5"/>
        <v>6400</v>
      </c>
      <c r="T90" s="280"/>
      <c r="U90" s="280"/>
      <c r="V90" s="280"/>
      <c r="W90" s="280"/>
      <c r="X90" s="280"/>
      <c r="Y90" s="280"/>
    </row>
    <row r="91" spans="1:25" s="43" customFormat="1" ht="21" customHeight="1">
      <c r="A91" s="142"/>
      <c r="B91" s="138"/>
      <c r="C91" s="120">
        <v>4270</v>
      </c>
      <c r="D91" s="68" t="s">
        <v>92</v>
      </c>
      <c r="E91" s="136">
        <v>5500</v>
      </c>
      <c r="F91" s="199"/>
      <c r="G91" s="199"/>
      <c r="H91" s="148">
        <f t="shared" si="5"/>
        <v>5500</v>
      </c>
      <c r="T91" s="280"/>
      <c r="U91" s="280"/>
      <c r="V91" s="280"/>
      <c r="W91" s="280"/>
      <c r="X91" s="280"/>
      <c r="Y91" s="280"/>
    </row>
    <row r="92" spans="1:25" s="43" customFormat="1" ht="21" customHeight="1">
      <c r="A92" s="142"/>
      <c r="B92" s="138"/>
      <c r="C92" s="120">
        <v>4280</v>
      </c>
      <c r="D92" s="68" t="s">
        <v>371</v>
      </c>
      <c r="E92" s="136">
        <v>2700</v>
      </c>
      <c r="F92" s="199"/>
      <c r="G92" s="199"/>
      <c r="H92" s="148">
        <f t="shared" si="5"/>
        <v>2700</v>
      </c>
      <c r="T92" s="280"/>
      <c r="U92" s="280"/>
      <c r="V92" s="280"/>
      <c r="W92" s="280"/>
      <c r="X92" s="280"/>
      <c r="Y92" s="280"/>
    </row>
    <row r="93" spans="1:25" s="43" customFormat="1" ht="21" customHeight="1">
      <c r="A93" s="142"/>
      <c r="B93" s="138"/>
      <c r="C93" s="120">
        <v>4300</v>
      </c>
      <c r="D93" s="68" t="s">
        <v>93</v>
      </c>
      <c r="E93" s="136">
        <v>4000</v>
      </c>
      <c r="F93" s="199"/>
      <c r="G93" s="199"/>
      <c r="H93" s="148">
        <f t="shared" si="5"/>
        <v>4000</v>
      </c>
      <c r="T93" s="280"/>
      <c r="U93" s="280"/>
      <c r="V93" s="280"/>
      <c r="W93" s="280"/>
      <c r="X93" s="280"/>
      <c r="Y93" s="280"/>
    </row>
    <row r="94" spans="1:25" s="43" customFormat="1" ht="21" customHeight="1">
      <c r="A94" s="142"/>
      <c r="B94" s="138"/>
      <c r="C94" s="120">
        <v>4410</v>
      </c>
      <c r="D94" s="68" t="s">
        <v>104</v>
      </c>
      <c r="E94" s="136">
        <v>3000</v>
      </c>
      <c r="F94" s="199"/>
      <c r="G94" s="199"/>
      <c r="H94" s="148">
        <f t="shared" si="5"/>
        <v>3000</v>
      </c>
      <c r="T94" s="280"/>
      <c r="U94" s="280"/>
      <c r="V94" s="280"/>
      <c r="W94" s="280"/>
      <c r="X94" s="280"/>
      <c r="Y94" s="280"/>
    </row>
    <row r="95" spans="1:25" s="43" customFormat="1" ht="21" customHeight="1">
      <c r="A95" s="142"/>
      <c r="B95" s="138"/>
      <c r="C95" s="120">
        <v>4430</v>
      </c>
      <c r="D95" s="68" t="s">
        <v>108</v>
      </c>
      <c r="E95" s="136">
        <v>4000</v>
      </c>
      <c r="F95" s="199"/>
      <c r="G95" s="199"/>
      <c r="H95" s="148">
        <f t="shared" si="5"/>
        <v>4000</v>
      </c>
      <c r="T95" s="280"/>
      <c r="U95" s="280"/>
      <c r="V95" s="280"/>
      <c r="W95" s="280"/>
      <c r="X95" s="280"/>
      <c r="Y95" s="280"/>
    </row>
    <row r="96" spans="1:25" s="43" customFormat="1" ht="21" customHeight="1">
      <c r="A96" s="142"/>
      <c r="B96" s="138"/>
      <c r="C96" s="120">
        <v>6050</v>
      </c>
      <c r="D96" s="68" t="s">
        <v>87</v>
      </c>
      <c r="E96" s="136">
        <v>70000</v>
      </c>
      <c r="F96" s="199"/>
      <c r="G96" s="199"/>
      <c r="H96" s="148">
        <f t="shared" si="5"/>
        <v>70000</v>
      </c>
      <c r="I96" s="228"/>
      <c r="J96" s="228"/>
      <c r="T96" s="280"/>
      <c r="U96" s="280"/>
      <c r="V96" s="280"/>
      <c r="W96" s="280"/>
      <c r="X96" s="280"/>
      <c r="Y96" s="280">
        <f>E96</f>
        <v>70000</v>
      </c>
    </row>
    <row r="97" spans="1:25" s="43" customFormat="1" ht="21.75" customHeight="1">
      <c r="A97" s="142"/>
      <c r="B97" s="138" t="s">
        <v>27</v>
      </c>
      <c r="C97" s="142"/>
      <c r="D97" s="68" t="s">
        <v>116</v>
      </c>
      <c r="E97" s="136">
        <f>SUM(E98)</f>
        <v>400</v>
      </c>
      <c r="F97" s="136">
        <f>SUM(F98)</f>
        <v>0</v>
      </c>
      <c r="G97" s="136">
        <f>SUM(G98)</f>
        <v>0</v>
      </c>
      <c r="H97" s="136">
        <f>SUM(H98)</f>
        <v>400</v>
      </c>
      <c r="I97" s="189"/>
      <c r="J97" s="228"/>
      <c r="T97" s="280"/>
      <c r="U97" s="280"/>
      <c r="V97" s="280"/>
      <c r="W97" s="280"/>
      <c r="X97" s="280"/>
      <c r="Y97" s="280"/>
    </row>
    <row r="98" spans="1:25" s="43" customFormat="1" ht="21" customHeight="1">
      <c r="A98" s="142"/>
      <c r="B98" s="138"/>
      <c r="C98" s="120">
        <v>4300</v>
      </c>
      <c r="D98" s="68" t="s">
        <v>93</v>
      </c>
      <c r="E98" s="136">
        <v>400</v>
      </c>
      <c r="F98" s="141"/>
      <c r="G98" s="141"/>
      <c r="H98" s="148">
        <f>SUM(E98+F98-G98)</f>
        <v>400</v>
      </c>
      <c r="I98" s="228"/>
      <c r="J98" s="228"/>
      <c r="T98" s="280"/>
      <c r="U98" s="280"/>
      <c r="V98" s="280"/>
      <c r="W98" s="280"/>
      <c r="X98" s="280"/>
      <c r="Y98" s="280"/>
    </row>
    <row r="99" spans="1:25" s="43" customFormat="1" ht="21.75" customHeight="1">
      <c r="A99" s="142"/>
      <c r="B99" s="138">
        <v>75416</v>
      </c>
      <c r="C99" s="142"/>
      <c r="D99" s="68" t="s">
        <v>30</v>
      </c>
      <c r="E99" s="136">
        <f>SUM(E100:E111)</f>
        <v>148100</v>
      </c>
      <c r="F99" s="136">
        <f>SUM(F100:F111)</f>
        <v>0</v>
      </c>
      <c r="G99" s="136">
        <f>SUM(G100:G111)</f>
        <v>0</v>
      </c>
      <c r="H99" s="136">
        <f>SUM(H100:H111)</f>
        <v>148100</v>
      </c>
      <c r="T99" s="280"/>
      <c r="U99" s="280"/>
      <c r="V99" s="280"/>
      <c r="W99" s="280"/>
      <c r="X99" s="280"/>
      <c r="Y99" s="280"/>
    </row>
    <row r="100" spans="1:25" s="43" customFormat="1" ht="21" customHeight="1">
      <c r="A100" s="142"/>
      <c r="B100" s="138"/>
      <c r="C100" s="120">
        <v>3020</v>
      </c>
      <c r="D100" s="68" t="s">
        <v>292</v>
      </c>
      <c r="E100" s="136">
        <v>10500</v>
      </c>
      <c r="F100" s="141"/>
      <c r="G100" s="141"/>
      <c r="H100" s="148">
        <f aca="true" t="shared" si="6" ref="H100:H111">SUM(E100+F100-G100)</f>
        <v>10500</v>
      </c>
      <c r="T100" s="280"/>
      <c r="U100" s="280"/>
      <c r="V100" s="280"/>
      <c r="W100" s="280"/>
      <c r="X100" s="280"/>
      <c r="Y100" s="280"/>
    </row>
    <row r="101" spans="1:25" s="43" customFormat="1" ht="21" customHeight="1">
      <c r="A101" s="142"/>
      <c r="B101" s="138"/>
      <c r="C101" s="120">
        <v>4010</v>
      </c>
      <c r="D101" s="68" t="s">
        <v>98</v>
      </c>
      <c r="E101" s="136">
        <v>87200</v>
      </c>
      <c r="F101" s="141"/>
      <c r="G101" s="141"/>
      <c r="H101" s="148">
        <f t="shared" si="6"/>
        <v>87200</v>
      </c>
      <c r="T101" s="280">
        <f>E101</f>
        <v>87200</v>
      </c>
      <c r="U101" s="280"/>
      <c r="V101" s="280"/>
      <c r="W101" s="280"/>
      <c r="X101" s="280"/>
      <c r="Y101" s="280"/>
    </row>
    <row r="102" spans="1:25" s="43" customFormat="1" ht="21" customHeight="1">
      <c r="A102" s="142"/>
      <c r="B102" s="138"/>
      <c r="C102" s="120">
        <v>4040</v>
      </c>
      <c r="D102" s="68" t="s">
        <v>99</v>
      </c>
      <c r="E102" s="136">
        <v>5500</v>
      </c>
      <c r="F102" s="141"/>
      <c r="G102" s="141"/>
      <c r="H102" s="148">
        <f t="shared" si="6"/>
        <v>5500</v>
      </c>
      <c r="T102" s="280"/>
      <c r="U102" s="280">
        <f>E102</f>
        <v>5500</v>
      </c>
      <c r="V102" s="280"/>
      <c r="W102" s="280"/>
      <c r="X102" s="280"/>
      <c r="Y102" s="280"/>
    </row>
    <row r="103" spans="1:25" s="43" customFormat="1" ht="21" customHeight="1">
      <c r="A103" s="142"/>
      <c r="B103" s="138"/>
      <c r="C103" s="120">
        <v>4110</v>
      </c>
      <c r="D103" s="68" t="s">
        <v>100</v>
      </c>
      <c r="E103" s="136">
        <v>16100</v>
      </c>
      <c r="F103" s="141"/>
      <c r="G103" s="141"/>
      <c r="H103" s="148">
        <f t="shared" si="6"/>
        <v>16100</v>
      </c>
      <c r="T103" s="280"/>
      <c r="U103" s="280"/>
      <c r="V103" s="280">
        <f>E103</f>
        <v>16100</v>
      </c>
      <c r="W103" s="280"/>
      <c r="X103" s="280"/>
      <c r="Y103" s="280"/>
    </row>
    <row r="104" spans="1:25" s="43" customFormat="1" ht="21" customHeight="1">
      <c r="A104" s="142"/>
      <c r="B104" s="138"/>
      <c r="C104" s="120">
        <v>4120</v>
      </c>
      <c r="D104" s="68" t="s">
        <v>101</v>
      </c>
      <c r="E104" s="136">
        <v>2200</v>
      </c>
      <c r="F104" s="141"/>
      <c r="G104" s="141"/>
      <c r="H104" s="148">
        <f t="shared" si="6"/>
        <v>2200</v>
      </c>
      <c r="T104" s="280"/>
      <c r="U104" s="280"/>
      <c r="V104" s="280"/>
      <c r="W104" s="280">
        <f>E104</f>
        <v>2200</v>
      </c>
      <c r="X104" s="280"/>
      <c r="Y104" s="280"/>
    </row>
    <row r="105" spans="1:25" s="43" customFormat="1" ht="21" customHeight="1">
      <c r="A105" s="142"/>
      <c r="B105" s="138"/>
      <c r="C105" s="120">
        <v>4210</v>
      </c>
      <c r="D105" s="68" t="s">
        <v>106</v>
      </c>
      <c r="E105" s="136">
        <v>8000</v>
      </c>
      <c r="F105" s="141"/>
      <c r="G105" s="141"/>
      <c r="H105" s="148">
        <f t="shared" si="6"/>
        <v>8000</v>
      </c>
      <c r="T105" s="280"/>
      <c r="U105" s="280"/>
      <c r="V105" s="280"/>
      <c r="W105" s="280"/>
      <c r="X105" s="280"/>
      <c r="Y105" s="280"/>
    </row>
    <row r="106" spans="1:25" s="43" customFormat="1" ht="21" customHeight="1">
      <c r="A106" s="142"/>
      <c r="B106" s="138"/>
      <c r="C106" s="120">
        <v>4270</v>
      </c>
      <c r="D106" s="68" t="s">
        <v>92</v>
      </c>
      <c r="E106" s="136">
        <v>3000</v>
      </c>
      <c r="F106" s="141"/>
      <c r="G106" s="141"/>
      <c r="H106" s="148">
        <f t="shared" si="6"/>
        <v>3000</v>
      </c>
      <c r="T106" s="280"/>
      <c r="U106" s="280"/>
      <c r="V106" s="280"/>
      <c r="W106" s="280"/>
      <c r="X106" s="280"/>
      <c r="Y106" s="280"/>
    </row>
    <row r="107" spans="1:25" s="43" customFormat="1" ht="21" customHeight="1">
      <c r="A107" s="142"/>
      <c r="B107" s="138"/>
      <c r="C107" s="120">
        <v>4280</v>
      </c>
      <c r="D107" s="68" t="s">
        <v>371</v>
      </c>
      <c r="E107" s="136">
        <v>1500</v>
      </c>
      <c r="F107" s="141"/>
      <c r="G107" s="141"/>
      <c r="H107" s="148">
        <f t="shared" si="6"/>
        <v>1500</v>
      </c>
      <c r="T107" s="280"/>
      <c r="U107" s="280"/>
      <c r="V107" s="280"/>
      <c r="W107" s="280"/>
      <c r="X107" s="280"/>
      <c r="Y107" s="280"/>
    </row>
    <row r="108" spans="1:25" s="43" customFormat="1" ht="21" customHeight="1">
      <c r="A108" s="142"/>
      <c r="B108" s="138"/>
      <c r="C108" s="120">
        <v>4300</v>
      </c>
      <c r="D108" s="68" t="s">
        <v>93</v>
      </c>
      <c r="E108" s="136">
        <v>7500</v>
      </c>
      <c r="F108" s="141"/>
      <c r="G108" s="141"/>
      <c r="H108" s="148">
        <f t="shared" si="6"/>
        <v>7500</v>
      </c>
      <c r="T108" s="280"/>
      <c r="U108" s="280"/>
      <c r="V108" s="280"/>
      <c r="W108" s="280"/>
      <c r="X108" s="280"/>
      <c r="Y108" s="280"/>
    </row>
    <row r="109" spans="1:25" s="43" customFormat="1" ht="21" customHeight="1">
      <c r="A109" s="142"/>
      <c r="B109" s="138"/>
      <c r="C109" s="120">
        <v>4410</v>
      </c>
      <c r="D109" s="68" t="s">
        <v>104</v>
      </c>
      <c r="E109" s="136">
        <v>500</v>
      </c>
      <c r="F109" s="141"/>
      <c r="G109" s="141"/>
      <c r="H109" s="148">
        <f t="shared" si="6"/>
        <v>500</v>
      </c>
      <c r="T109" s="280"/>
      <c r="U109" s="280"/>
      <c r="V109" s="280"/>
      <c r="W109" s="280"/>
      <c r="X109" s="280"/>
      <c r="Y109" s="280"/>
    </row>
    <row r="110" spans="1:25" s="43" customFormat="1" ht="21" customHeight="1">
      <c r="A110" s="142"/>
      <c r="B110" s="138"/>
      <c r="C110" s="123">
        <v>4430</v>
      </c>
      <c r="D110" s="68" t="s">
        <v>108</v>
      </c>
      <c r="E110" s="136">
        <v>3000</v>
      </c>
      <c r="F110" s="141"/>
      <c r="G110" s="141"/>
      <c r="H110" s="148">
        <f t="shared" si="6"/>
        <v>3000</v>
      </c>
      <c r="T110" s="280"/>
      <c r="U110" s="280"/>
      <c r="V110" s="280"/>
      <c r="W110" s="280"/>
      <c r="X110" s="280"/>
      <c r="Y110" s="280"/>
    </row>
    <row r="111" spans="1:25" s="43" customFormat="1" ht="21" customHeight="1">
      <c r="A111" s="142"/>
      <c r="B111" s="138"/>
      <c r="C111" s="123">
        <v>4440</v>
      </c>
      <c r="D111" s="68" t="s">
        <v>102</v>
      </c>
      <c r="E111" s="136">
        <v>3100</v>
      </c>
      <c r="F111" s="141"/>
      <c r="G111" s="141"/>
      <c r="H111" s="148">
        <f t="shared" si="6"/>
        <v>3100</v>
      </c>
      <c r="T111" s="280"/>
      <c r="U111" s="280"/>
      <c r="V111" s="280"/>
      <c r="W111" s="280"/>
      <c r="X111" s="280"/>
      <c r="Y111" s="280"/>
    </row>
    <row r="112" spans="1:25" s="43" customFormat="1" ht="21.75" customHeight="1">
      <c r="A112" s="142"/>
      <c r="B112" s="138" t="s">
        <v>117</v>
      </c>
      <c r="C112" s="142"/>
      <c r="D112" s="68" t="s">
        <v>6</v>
      </c>
      <c r="E112" s="136">
        <f>E113</f>
        <v>5000</v>
      </c>
      <c r="F112" s="136">
        <f>SUM(F113)</f>
        <v>0</v>
      </c>
      <c r="G112" s="136">
        <f>SUM(G113)</f>
        <v>0</v>
      </c>
      <c r="H112" s="136">
        <f>SUM(H113)</f>
        <v>5000</v>
      </c>
      <c r="T112" s="280"/>
      <c r="U112" s="280"/>
      <c r="V112" s="280"/>
      <c r="W112" s="280"/>
      <c r="X112" s="280"/>
      <c r="Y112" s="280"/>
    </row>
    <row r="113" spans="1:25" s="43" customFormat="1" ht="21" customHeight="1">
      <c r="A113" s="142"/>
      <c r="B113" s="138"/>
      <c r="C113" s="123">
        <v>4430</v>
      </c>
      <c r="D113" s="68" t="s">
        <v>108</v>
      </c>
      <c r="E113" s="136">
        <v>5000</v>
      </c>
      <c r="F113" s="141"/>
      <c r="G113" s="141"/>
      <c r="H113" s="148">
        <f>SUM(E113+F113-G113)</f>
        <v>5000</v>
      </c>
      <c r="T113" s="280"/>
      <c r="U113" s="280"/>
      <c r="V113" s="280"/>
      <c r="W113" s="280"/>
      <c r="X113" s="280"/>
      <c r="Y113" s="280"/>
    </row>
    <row r="114" spans="1:25" s="72" customFormat="1" ht="54.75" customHeight="1">
      <c r="A114" s="65">
        <v>756</v>
      </c>
      <c r="B114" s="114"/>
      <c r="C114" s="113"/>
      <c r="D114" s="66" t="s">
        <v>228</v>
      </c>
      <c r="E114" s="67">
        <f>SUM(E115)</f>
        <v>73500</v>
      </c>
      <c r="F114" s="67">
        <f>SUM(F115)</f>
        <v>0</v>
      </c>
      <c r="G114" s="67">
        <f>SUM(G115)</f>
        <v>0</v>
      </c>
      <c r="H114" s="67">
        <f>SUM(H115)</f>
        <v>73500</v>
      </c>
      <c r="T114" s="279"/>
      <c r="U114" s="279"/>
      <c r="V114" s="279"/>
      <c r="W114" s="279"/>
      <c r="X114" s="279"/>
      <c r="Y114" s="279"/>
    </row>
    <row r="115" spans="1:25" s="43" customFormat="1" ht="31.5" customHeight="1">
      <c r="A115" s="142"/>
      <c r="B115" s="138">
        <v>75647</v>
      </c>
      <c r="C115" s="123"/>
      <c r="D115" s="68" t="s">
        <v>264</v>
      </c>
      <c r="E115" s="136">
        <f>SUM(E116:E121)</f>
        <v>73500</v>
      </c>
      <c r="F115" s="136">
        <f>SUM(F116:F121)</f>
        <v>0</v>
      </c>
      <c r="G115" s="136">
        <f>SUM(G116:G121)</f>
        <v>0</v>
      </c>
      <c r="H115" s="136">
        <f>SUM(H116:H121)</f>
        <v>73500</v>
      </c>
      <c r="T115" s="280"/>
      <c r="U115" s="280"/>
      <c r="V115" s="280"/>
      <c r="W115" s="280"/>
      <c r="X115" s="280"/>
      <c r="Y115" s="280"/>
    </row>
    <row r="116" spans="1:25" s="43" customFormat="1" ht="21" customHeight="1">
      <c r="A116" s="142"/>
      <c r="B116" s="138"/>
      <c r="C116" s="123">
        <v>4100</v>
      </c>
      <c r="D116" s="68" t="s">
        <v>111</v>
      </c>
      <c r="E116" s="136">
        <v>35000</v>
      </c>
      <c r="F116" s="141"/>
      <c r="G116" s="141"/>
      <c r="H116" s="148">
        <f aca="true" t="shared" si="7" ref="H116:H121">SUM(E116+F116-G116)</f>
        <v>35000</v>
      </c>
      <c r="T116" s="280">
        <f>E116</f>
        <v>35000</v>
      </c>
      <c r="U116" s="280"/>
      <c r="V116" s="280"/>
      <c r="W116" s="280"/>
      <c r="X116" s="280"/>
      <c r="Y116" s="280"/>
    </row>
    <row r="117" spans="1:25" s="43" customFormat="1" ht="21" customHeight="1">
      <c r="A117" s="142"/>
      <c r="B117" s="138"/>
      <c r="C117" s="123">
        <v>4170</v>
      </c>
      <c r="D117" s="68" t="s">
        <v>299</v>
      </c>
      <c r="E117" s="136">
        <v>8000</v>
      </c>
      <c r="F117" s="141"/>
      <c r="G117" s="141"/>
      <c r="H117" s="148">
        <f t="shared" si="7"/>
        <v>8000</v>
      </c>
      <c r="T117" s="280"/>
      <c r="U117" s="280"/>
      <c r="V117" s="280"/>
      <c r="W117" s="280"/>
      <c r="X117" s="280">
        <f>E117</f>
        <v>8000</v>
      </c>
      <c r="Y117" s="280"/>
    </row>
    <row r="118" spans="1:25" s="43" customFormat="1" ht="21" customHeight="1">
      <c r="A118" s="142"/>
      <c r="B118" s="138"/>
      <c r="C118" s="123">
        <v>4210</v>
      </c>
      <c r="D118" s="68" t="s">
        <v>86</v>
      </c>
      <c r="E118" s="136">
        <v>6000</v>
      </c>
      <c r="F118" s="141"/>
      <c r="G118" s="141"/>
      <c r="H118" s="148">
        <f t="shared" si="7"/>
        <v>6000</v>
      </c>
      <c r="T118" s="280"/>
      <c r="U118" s="280"/>
      <c r="V118" s="280"/>
      <c r="W118" s="280"/>
      <c r="X118" s="280"/>
      <c r="Y118" s="280"/>
    </row>
    <row r="119" spans="1:25" s="43" customFormat="1" ht="21" customHeight="1">
      <c r="A119" s="142"/>
      <c r="B119" s="138"/>
      <c r="C119" s="123">
        <v>4300</v>
      </c>
      <c r="D119" s="68" t="s">
        <v>93</v>
      </c>
      <c r="E119" s="136">
        <v>18000</v>
      </c>
      <c r="F119" s="141"/>
      <c r="G119" s="141"/>
      <c r="H119" s="148">
        <f t="shared" si="7"/>
        <v>18000</v>
      </c>
      <c r="T119" s="280"/>
      <c r="U119" s="280"/>
      <c r="V119" s="280"/>
      <c r="W119" s="280"/>
      <c r="X119" s="280"/>
      <c r="Y119" s="280"/>
    </row>
    <row r="120" spans="1:25" s="43" customFormat="1" ht="24" customHeight="1">
      <c r="A120" s="142"/>
      <c r="B120" s="138"/>
      <c r="C120" s="123">
        <v>4610</v>
      </c>
      <c r="D120" s="68" t="s">
        <v>268</v>
      </c>
      <c r="E120" s="136">
        <v>6000</v>
      </c>
      <c r="F120" s="141"/>
      <c r="G120" s="141"/>
      <c r="H120" s="148">
        <f t="shared" si="7"/>
        <v>6000</v>
      </c>
      <c r="T120" s="280"/>
      <c r="U120" s="280"/>
      <c r="V120" s="280"/>
      <c r="W120" s="280"/>
      <c r="X120" s="280"/>
      <c r="Y120" s="280"/>
    </row>
    <row r="121" spans="1:25" s="43" customFormat="1" ht="21" customHeight="1">
      <c r="A121" s="142"/>
      <c r="B121" s="138"/>
      <c r="C121" s="123">
        <v>4430</v>
      </c>
      <c r="D121" s="68" t="s">
        <v>108</v>
      </c>
      <c r="E121" s="136">
        <v>500</v>
      </c>
      <c r="F121" s="141"/>
      <c r="G121" s="141"/>
      <c r="H121" s="148">
        <f t="shared" si="7"/>
        <v>500</v>
      </c>
      <c r="T121" s="280"/>
      <c r="U121" s="280"/>
      <c r="V121" s="280"/>
      <c r="W121" s="280"/>
      <c r="X121" s="280"/>
      <c r="Y121" s="280"/>
    </row>
    <row r="122" spans="1:25" s="8" customFormat="1" ht="24.75" customHeight="1">
      <c r="A122" s="63" t="s">
        <v>118</v>
      </c>
      <c r="B122" s="64"/>
      <c r="C122" s="65"/>
      <c r="D122" s="66" t="s">
        <v>119</v>
      </c>
      <c r="E122" s="67">
        <f>SUM(E123)</f>
        <v>680614</v>
      </c>
      <c r="F122" s="67">
        <f>SUM(F123)</f>
        <v>0</v>
      </c>
      <c r="G122" s="67">
        <f>SUM(G123)</f>
        <v>0</v>
      </c>
      <c r="H122" s="67">
        <f>SUM(H123)</f>
        <v>680614</v>
      </c>
      <c r="T122" s="280"/>
      <c r="U122" s="280"/>
      <c r="V122" s="280"/>
      <c r="W122" s="280"/>
      <c r="X122" s="280"/>
      <c r="Y122" s="280"/>
    </row>
    <row r="123" spans="1:25" s="43" customFormat="1" ht="30.75" customHeight="1">
      <c r="A123" s="120"/>
      <c r="B123" s="138" t="s">
        <v>120</v>
      </c>
      <c r="C123" s="142"/>
      <c r="D123" s="68" t="s">
        <v>121</v>
      </c>
      <c r="E123" s="136">
        <f>SUM(E124:E125)</f>
        <v>680614</v>
      </c>
      <c r="F123" s="136">
        <f>SUM(F124:F125)</f>
        <v>0</v>
      </c>
      <c r="G123" s="136">
        <f>SUM(G124:G125)</f>
        <v>0</v>
      </c>
      <c r="H123" s="136">
        <f>SUM(H124:H125)</f>
        <v>680614</v>
      </c>
      <c r="T123" s="280"/>
      <c r="U123" s="280"/>
      <c r="V123" s="280"/>
      <c r="W123" s="280"/>
      <c r="X123" s="280"/>
      <c r="Y123" s="280"/>
    </row>
    <row r="124" spans="1:25" s="43" customFormat="1" ht="36.75" customHeight="1">
      <c r="A124" s="120"/>
      <c r="B124" s="143"/>
      <c r="C124" s="142">
        <v>8070</v>
      </c>
      <c r="D124" s="68" t="s">
        <v>122</v>
      </c>
      <c r="E124" s="136">
        <v>658614</v>
      </c>
      <c r="F124" s="150"/>
      <c r="G124" s="150"/>
      <c r="H124" s="148">
        <f>SUM(E124+F124-G124)</f>
        <v>658614</v>
      </c>
      <c r="T124" s="280"/>
      <c r="U124" s="280"/>
      <c r="V124" s="280"/>
      <c r="W124" s="280"/>
      <c r="X124" s="280"/>
      <c r="Y124" s="280"/>
    </row>
    <row r="125" spans="1:25" s="43" customFormat="1" ht="36" customHeight="1">
      <c r="A125" s="120"/>
      <c r="B125" s="143"/>
      <c r="C125" s="142">
        <v>8079</v>
      </c>
      <c r="D125" s="68" t="s">
        <v>122</v>
      </c>
      <c r="E125" s="136">
        <v>22000</v>
      </c>
      <c r="F125" s="150"/>
      <c r="G125" s="150"/>
      <c r="H125" s="148">
        <f>SUM(E125+F125-G125)</f>
        <v>22000</v>
      </c>
      <c r="T125" s="280"/>
      <c r="U125" s="280"/>
      <c r="V125" s="280"/>
      <c r="W125" s="280"/>
      <c r="X125" s="280"/>
      <c r="Y125" s="280"/>
    </row>
    <row r="126" spans="1:25" s="8" customFormat="1" ht="24.75" customHeight="1">
      <c r="A126" s="63" t="s">
        <v>56</v>
      </c>
      <c r="B126" s="64"/>
      <c r="C126" s="65"/>
      <c r="D126" s="66" t="s">
        <v>57</v>
      </c>
      <c r="E126" s="67">
        <f>SUM(E127)</f>
        <v>300000</v>
      </c>
      <c r="F126" s="67">
        <f aca="true" t="shared" si="8" ref="F126:H127">SUM(F127)</f>
        <v>0</v>
      </c>
      <c r="G126" s="67">
        <f t="shared" si="8"/>
        <v>0</v>
      </c>
      <c r="H126" s="67">
        <f t="shared" si="8"/>
        <v>300000</v>
      </c>
      <c r="T126" s="280"/>
      <c r="U126" s="280"/>
      <c r="V126" s="280"/>
      <c r="W126" s="280"/>
      <c r="X126" s="280"/>
      <c r="Y126" s="280"/>
    </row>
    <row r="127" spans="1:25" s="43" customFormat="1" ht="21.75" customHeight="1">
      <c r="A127" s="120"/>
      <c r="B127" s="138" t="s">
        <v>123</v>
      </c>
      <c r="C127" s="142"/>
      <c r="D127" s="68" t="s">
        <v>124</v>
      </c>
      <c r="E127" s="136">
        <f>SUM(E128)</f>
        <v>300000</v>
      </c>
      <c r="F127" s="136">
        <f t="shared" si="8"/>
        <v>0</v>
      </c>
      <c r="G127" s="136">
        <f t="shared" si="8"/>
        <v>0</v>
      </c>
      <c r="H127" s="136">
        <f t="shared" si="8"/>
        <v>300000</v>
      </c>
      <c r="T127" s="280"/>
      <c r="U127" s="280"/>
      <c r="V127" s="280"/>
      <c r="W127" s="280"/>
      <c r="X127" s="280"/>
      <c r="Y127" s="280"/>
    </row>
    <row r="128" spans="1:25" s="43" customFormat="1" ht="21" customHeight="1">
      <c r="A128" s="120"/>
      <c r="B128" s="143"/>
      <c r="C128" s="142">
        <v>4810</v>
      </c>
      <c r="D128" s="68" t="s">
        <v>125</v>
      </c>
      <c r="E128" s="136">
        <v>300000</v>
      </c>
      <c r="F128" s="141"/>
      <c r="G128" s="141"/>
      <c r="H128" s="148">
        <f>SUM(E128+F128-G128)</f>
        <v>300000</v>
      </c>
      <c r="T128" s="280"/>
      <c r="U128" s="280"/>
      <c r="V128" s="280"/>
      <c r="W128" s="280"/>
      <c r="X128" s="280"/>
      <c r="Y128" s="280"/>
    </row>
    <row r="129" spans="1:25" s="9" customFormat="1" ht="24.75" customHeight="1">
      <c r="A129" s="63" t="s">
        <v>126</v>
      </c>
      <c r="B129" s="64"/>
      <c r="C129" s="65"/>
      <c r="D129" s="66" t="s">
        <v>127</v>
      </c>
      <c r="E129" s="67">
        <f>SUM(E130,E148,E160,E162,E179,E181,E185)</f>
        <v>16819030</v>
      </c>
      <c r="F129" s="67">
        <f>SUM(F130,F148,F160,F162,F179,F181,F185)</f>
        <v>0</v>
      </c>
      <c r="G129" s="67">
        <f>SUM(G130,G148,G160,G162,G179,G181,G185)</f>
        <v>0</v>
      </c>
      <c r="H129" s="67">
        <f>SUM(H130,H148,H160,H162,H179,H181,H185)</f>
        <v>16750950</v>
      </c>
      <c r="T129" s="280"/>
      <c r="U129" s="280"/>
      <c r="V129" s="280"/>
      <c r="W129" s="280"/>
      <c r="X129" s="280"/>
      <c r="Y129" s="280"/>
    </row>
    <row r="130" spans="1:25" s="43" customFormat="1" ht="21.75" customHeight="1">
      <c r="A130" s="120"/>
      <c r="B130" s="138" t="s">
        <v>128</v>
      </c>
      <c r="C130" s="142"/>
      <c r="D130" s="68" t="s">
        <v>62</v>
      </c>
      <c r="E130" s="136">
        <f>SUM(E131:E147)</f>
        <v>8994679</v>
      </c>
      <c r="F130" s="136">
        <f>SUM(F131:F147)</f>
        <v>0</v>
      </c>
      <c r="G130" s="136">
        <f>SUM(G131:G147)</f>
        <v>0</v>
      </c>
      <c r="H130" s="136">
        <f>SUM(H131:H147)</f>
        <v>8994679</v>
      </c>
      <c r="T130" s="280"/>
      <c r="U130" s="280"/>
      <c r="V130" s="280"/>
      <c r="W130" s="280"/>
      <c r="X130" s="280"/>
      <c r="Y130" s="280"/>
    </row>
    <row r="131" spans="1:25" s="43" customFormat="1" ht="32.25" customHeight="1">
      <c r="A131" s="120"/>
      <c r="B131" s="138"/>
      <c r="C131" s="142">
        <v>2540</v>
      </c>
      <c r="D131" s="68" t="s">
        <v>271</v>
      </c>
      <c r="E131" s="136">
        <v>211428</v>
      </c>
      <c r="F131" s="141"/>
      <c r="G131" s="141"/>
      <c r="H131" s="148">
        <f aca="true" t="shared" si="9" ref="H131:H147">SUM(E131+F131-G131)</f>
        <v>211428</v>
      </c>
      <c r="T131" s="280"/>
      <c r="U131" s="280"/>
      <c r="V131" s="280"/>
      <c r="W131" s="280"/>
      <c r="X131" s="280"/>
      <c r="Y131" s="280"/>
    </row>
    <row r="132" spans="1:25" s="43" customFormat="1" ht="21" customHeight="1">
      <c r="A132" s="120"/>
      <c r="B132" s="138"/>
      <c r="C132" s="120">
        <v>3020</v>
      </c>
      <c r="D132" s="68" t="s">
        <v>354</v>
      </c>
      <c r="E132" s="136">
        <v>166622</v>
      </c>
      <c r="F132" s="141"/>
      <c r="G132" s="141"/>
      <c r="H132" s="148">
        <f t="shared" si="9"/>
        <v>166622</v>
      </c>
      <c r="T132" s="280"/>
      <c r="U132" s="280"/>
      <c r="V132" s="280"/>
      <c r="W132" s="280"/>
      <c r="X132" s="280"/>
      <c r="Y132" s="280"/>
    </row>
    <row r="133" spans="1:25" s="43" customFormat="1" ht="21" customHeight="1">
      <c r="A133" s="120"/>
      <c r="B133" s="138"/>
      <c r="C133" s="120">
        <v>4010</v>
      </c>
      <c r="D133" s="68" t="s">
        <v>98</v>
      </c>
      <c r="E133" s="136">
        <v>5677907</v>
      </c>
      <c r="F133" s="141"/>
      <c r="G133" s="141"/>
      <c r="H133" s="148">
        <f t="shared" si="9"/>
        <v>5677907</v>
      </c>
      <c r="T133" s="280">
        <f>E133</f>
        <v>5677907</v>
      </c>
      <c r="U133" s="280"/>
      <c r="V133" s="280"/>
      <c r="W133" s="280"/>
      <c r="X133" s="280"/>
      <c r="Y133" s="280"/>
    </row>
    <row r="134" spans="1:25" s="43" customFormat="1" ht="21" customHeight="1">
      <c r="A134" s="120"/>
      <c r="B134" s="138"/>
      <c r="C134" s="120">
        <v>4040</v>
      </c>
      <c r="D134" s="68" t="s">
        <v>99</v>
      </c>
      <c r="E134" s="136">
        <v>459689</v>
      </c>
      <c r="F134" s="141"/>
      <c r="G134" s="141"/>
      <c r="H134" s="148">
        <f t="shared" si="9"/>
        <v>459689</v>
      </c>
      <c r="T134" s="280"/>
      <c r="U134" s="280">
        <f>E134</f>
        <v>459689</v>
      </c>
      <c r="V134" s="280"/>
      <c r="W134" s="280"/>
      <c r="X134" s="280"/>
      <c r="Y134" s="280"/>
    </row>
    <row r="135" spans="1:25" s="43" customFormat="1" ht="21" customHeight="1">
      <c r="A135" s="120"/>
      <c r="B135" s="138"/>
      <c r="C135" s="120">
        <v>4110</v>
      </c>
      <c r="D135" s="68" t="s">
        <v>100</v>
      </c>
      <c r="E135" s="136">
        <v>1090140</v>
      </c>
      <c r="F135" s="141"/>
      <c r="G135" s="141"/>
      <c r="H135" s="148">
        <f t="shared" si="9"/>
        <v>1090140</v>
      </c>
      <c r="T135" s="280"/>
      <c r="U135" s="280"/>
      <c r="V135" s="280">
        <f>E135</f>
        <v>1090140</v>
      </c>
      <c r="W135" s="280"/>
      <c r="X135" s="280"/>
      <c r="Y135" s="280"/>
    </row>
    <row r="136" spans="1:25" s="43" customFormat="1" ht="21" customHeight="1">
      <c r="A136" s="120"/>
      <c r="B136" s="138"/>
      <c r="C136" s="120">
        <v>4120</v>
      </c>
      <c r="D136" s="68" t="s">
        <v>101</v>
      </c>
      <c r="E136" s="136">
        <v>150918</v>
      </c>
      <c r="F136" s="141"/>
      <c r="G136" s="141"/>
      <c r="H136" s="148">
        <f t="shared" si="9"/>
        <v>150918</v>
      </c>
      <c r="T136" s="280"/>
      <c r="U136" s="280"/>
      <c r="V136" s="280"/>
      <c r="W136" s="280">
        <f>E136</f>
        <v>150918</v>
      </c>
      <c r="X136" s="280"/>
      <c r="Y136" s="280"/>
    </row>
    <row r="137" spans="1:25" s="43" customFormat="1" ht="21" customHeight="1">
      <c r="A137" s="120"/>
      <c r="B137" s="138"/>
      <c r="C137" s="120">
        <v>4170</v>
      </c>
      <c r="D137" s="68" t="s">
        <v>299</v>
      </c>
      <c r="E137" s="136">
        <v>36475</v>
      </c>
      <c r="F137" s="141"/>
      <c r="G137" s="141"/>
      <c r="H137" s="148">
        <f t="shared" si="9"/>
        <v>36475</v>
      </c>
      <c r="T137" s="280"/>
      <c r="U137" s="280"/>
      <c r="V137" s="280"/>
      <c r="W137" s="280"/>
      <c r="X137" s="280">
        <f>E137</f>
        <v>36475</v>
      </c>
      <c r="Y137" s="280"/>
    </row>
    <row r="138" spans="1:25" s="43" customFormat="1" ht="21" customHeight="1">
      <c r="A138" s="120"/>
      <c r="B138" s="138"/>
      <c r="C138" s="120">
        <v>4210</v>
      </c>
      <c r="D138" s="68" t="s">
        <v>106</v>
      </c>
      <c r="E138" s="136">
        <f>257900</f>
        <v>257900</v>
      </c>
      <c r="F138" s="141"/>
      <c r="G138" s="141"/>
      <c r="H138" s="148">
        <f t="shared" si="9"/>
        <v>257900</v>
      </c>
      <c r="T138" s="280"/>
      <c r="U138" s="280"/>
      <c r="V138" s="280"/>
      <c r="W138" s="280"/>
      <c r="X138" s="280"/>
      <c r="Y138" s="280"/>
    </row>
    <row r="139" spans="1:25" s="43" customFormat="1" ht="21" customHeight="1">
      <c r="A139" s="120"/>
      <c r="B139" s="138"/>
      <c r="C139" s="142">
        <v>4230</v>
      </c>
      <c r="D139" s="68" t="s">
        <v>130</v>
      </c>
      <c r="E139" s="136">
        <v>1260</v>
      </c>
      <c r="F139" s="141"/>
      <c r="G139" s="141"/>
      <c r="H139" s="148">
        <f t="shared" si="9"/>
        <v>1260</v>
      </c>
      <c r="T139" s="280"/>
      <c r="U139" s="280"/>
      <c r="V139" s="280"/>
      <c r="W139" s="280"/>
      <c r="X139" s="280"/>
      <c r="Y139" s="280"/>
    </row>
    <row r="140" spans="1:25" s="43" customFormat="1" ht="21" customHeight="1">
      <c r="A140" s="120"/>
      <c r="B140" s="138"/>
      <c r="C140" s="142">
        <v>4240</v>
      </c>
      <c r="D140" s="68" t="s">
        <v>141</v>
      </c>
      <c r="E140" s="136">
        <v>13000</v>
      </c>
      <c r="F140" s="141"/>
      <c r="G140" s="141"/>
      <c r="H140" s="148">
        <f t="shared" si="9"/>
        <v>13000</v>
      </c>
      <c r="T140" s="280"/>
      <c r="U140" s="280"/>
      <c r="V140" s="280"/>
      <c r="W140" s="280"/>
      <c r="X140" s="280"/>
      <c r="Y140" s="280"/>
    </row>
    <row r="141" spans="1:25" s="43" customFormat="1" ht="21" customHeight="1">
      <c r="A141" s="120"/>
      <c r="B141" s="138"/>
      <c r="C141" s="120">
        <v>4260</v>
      </c>
      <c r="D141" s="68" t="s">
        <v>109</v>
      </c>
      <c r="E141" s="136">
        <v>381320</v>
      </c>
      <c r="F141" s="141"/>
      <c r="G141" s="141"/>
      <c r="H141" s="148">
        <f t="shared" si="9"/>
        <v>381320</v>
      </c>
      <c r="T141" s="280"/>
      <c r="U141" s="280"/>
      <c r="V141" s="280"/>
      <c r="W141" s="280"/>
      <c r="X141" s="280"/>
      <c r="Y141" s="280"/>
    </row>
    <row r="142" spans="1:25" s="43" customFormat="1" ht="21" customHeight="1">
      <c r="A142" s="120"/>
      <c r="B142" s="138"/>
      <c r="C142" s="120">
        <v>4270</v>
      </c>
      <c r="D142" s="68" t="s">
        <v>92</v>
      </c>
      <c r="E142" s="136">
        <v>7500</v>
      </c>
      <c r="F142" s="141"/>
      <c r="G142" s="141"/>
      <c r="H142" s="148">
        <f t="shared" si="9"/>
        <v>7500</v>
      </c>
      <c r="T142" s="280"/>
      <c r="U142" s="280"/>
      <c r="V142" s="280"/>
      <c r="W142" s="280"/>
      <c r="X142" s="280"/>
      <c r="Y142" s="280"/>
    </row>
    <row r="143" spans="1:25" s="43" customFormat="1" ht="21" customHeight="1">
      <c r="A143" s="120"/>
      <c r="B143" s="138"/>
      <c r="C143" s="120">
        <v>4300</v>
      </c>
      <c r="D143" s="68" t="s">
        <v>93</v>
      </c>
      <c r="E143" s="136">
        <f>149500+4000</f>
        <v>153500</v>
      </c>
      <c r="F143" s="141"/>
      <c r="G143" s="141"/>
      <c r="H143" s="148">
        <f t="shared" si="9"/>
        <v>153500</v>
      </c>
      <c r="T143" s="280"/>
      <c r="U143" s="280"/>
      <c r="V143" s="280"/>
      <c r="W143" s="280"/>
      <c r="X143" s="280"/>
      <c r="Y143" s="280"/>
    </row>
    <row r="144" spans="1:25" s="43" customFormat="1" ht="21" customHeight="1">
      <c r="A144" s="120"/>
      <c r="B144" s="138"/>
      <c r="C144" s="120">
        <v>4350</v>
      </c>
      <c r="D144" s="68" t="s">
        <v>343</v>
      </c>
      <c r="E144" s="136">
        <v>8950</v>
      </c>
      <c r="F144" s="141"/>
      <c r="G144" s="141"/>
      <c r="H144" s="148">
        <f t="shared" si="9"/>
        <v>8950</v>
      </c>
      <c r="T144" s="280"/>
      <c r="U144" s="280"/>
      <c r="V144" s="280"/>
      <c r="W144" s="280"/>
      <c r="X144" s="280"/>
      <c r="Y144" s="280"/>
    </row>
    <row r="145" spans="1:25" s="43" customFormat="1" ht="21" customHeight="1">
      <c r="A145" s="120"/>
      <c r="B145" s="138"/>
      <c r="C145" s="120">
        <v>4410</v>
      </c>
      <c r="D145" s="68" t="s">
        <v>104</v>
      </c>
      <c r="E145" s="136">
        <v>13000</v>
      </c>
      <c r="F145" s="141"/>
      <c r="G145" s="141"/>
      <c r="H145" s="148">
        <f t="shared" si="9"/>
        <v>13000</v>
      </c>
      <c r="T145" s="280"/>
      <c r="U145" s="280"/>
      <c r="V145" s="280"/>
      <c r="W145" s="280"/>
      <c r="X145" s="280"/>
      <c r="Y145" s="280"/>
    </row>
    <row r="146" spans="1:25" s="43" customFormat="1" ht="21" customHeight="1">
      <c r="A146" s="120"/>
      <c r="B146" s="138"/>
      <c r="C146" s="123">
        <v>4430</v>
      </c>
      <c r="D146" s="68" t="s">
        <v>108</v>
      </c>
      <c r="E146" s="136">
        <v>6630</v>
      </c>
      <c r="F146" s="141"/>
      <c r="G146" s="141"/>
      <c r="H146" s="148">
        <f t="shared" si="9"/>
        <v>6630</v>
      </c>
      <c r="T146" s="280"/>
      <c r="U146" s="280"/>
      <c r="V146" s="280"/>
      <c r="W146" s="280"/>
      <c r="X146" s="280"/>
      <c r="Y146" s="280"/>
    </row>
    <row r="147" spans="1:25" s="43" customFormat="1" ht="21" customHeight="1">
      <c r="A147" s="120"/>
      <c r="B147" s="138"/>
      <c r="C147" s="123">
        <v>4440</v>
      </c>
      <c r="D147" s="68" t="s">
        <v>102</v>
      </c>
      <c r="E147" s="136">
        <v>358440</v>
      </c>
      <c r="F147" s="141"/>
      <c r="G147" s="141"/>
      <c r="H147" s="148">
        <f t="shared" si="9"/>
        <v>358440</v>
      </c>
      <c r="T147" s="280"/>
      <c r="U147" s="280"/>
      <c r="V147" s="280"/>
      <c r="W147" s="280"/>
      <c r="X147" s="280"/>
      <c r="Y147" s="280"/>
    </row>
    <row r="148" spans="1:25" s="43" customFormat="1" ht="27.75" customHeight="1">
      <c r="A148" s="120"/>
      <c r="B148" s="138">
        <v>80103</v>
      </c>
      <c r="C148" s="123"/>
      <c r="D148" s="68" t="s">
        <v>340</v>
      </c>
      <c r="E148" s="136">
        <f>SUM(E149:E159)</f>
        <v>361579</v>
      </c>
      <c r="F148" s="136">
        <f>SUM(F150:F159)</f>
        <v>0</v>
      </c>
      <c r="G148" s="136">
        <f>SUM(G150:G159)</f>
        <v>0</v>
      </c>
      <c r="H148" s="136">
        <f>SUM(H150:H159)</f>
        <v>293499</v>
      </c>
      <c r="T148" s="280"/>
      <c r="U148" s="280"/>
      <c r="V148" s="280"/>
      <c r="W148" s="280"/>
      <c r="X148" s="280"/>
      <c r="Y148" s="280"/>
    </row>
    <row r="149" spans="1:25" s="43" customFormat="1" ht="31.5" customHeight="1">
      <c r="A149" s="120"/>
      <c r="B149" s="138"/>
      <c r="C149" s="142">
        <v>2540</v>
      </c>
      <c r="D149" s="68" t="s">
        <v>271</v>
      </c>
      <c r="E149" s="136">
        <v>68080</v>
      </c>
      <c r="F149" s="136"/>
      <c r="G149" s="136"/>
      <c r="H149" s="136"/>
      <c r="T149" s="280"/>
      <c r="U149" s="280"/>
      <c r="V149" s="280"/>
      <c r="W149" s="280"/>
      <c r="X149" s="280"/>
      <c r="Y149" s="280"/>
    </row>
    <row r="150" spans="1:25" s="43" customFormat="1" ht="21" customHeight="1">
      <c r="A150" s="120"/>
      <c r="B150" s="138"/>
      <c r="C150" s="142">
        <v>3020</v>
      </c>
      <c r="D150" s="68" t="s">
        <v>292</v>
      </c>
      <c r="E150" s="136">
        <v>17750</v>
      </c>
      <c r="F150" s="141"/>
      <c r="G150" s="141"/>
      <c r="H150" s="148">
        <f aca="true" t="shared" si="10" ref="H150:H159">SUM(E150+F150-G150)</f>
        <v>17750</v>
      </c>
      <c r="T150" s="280"/>
      <c r="U150" s="280"/>
      <c r="V150" s="280"/>
      <c r="W150" s="280"/>
      <c r="X150" s="280"/>
      <c r="Y150" s="280"/>
    </row>
    <row r="151" spans="1:25" s="43" customFormat="1" ht="21" customHeight="1">
      <c r="A151" s="120"/>
      <c r="B151" s="138"/>
      <c r="C151" s="142">
        <v>4010</v>
      </c>
      <c r="D151" s="68" t="s">
        <v>98</v>
      </c>
      <c r="E151" s="136">
        <v>192997</v>
      </c>
      <c r="F151" s="141"/>
      <c r="G151" s="141"/>
      <c r="H151" s="148">
        <f t="shared" si="10"/>
        <v>192997</v>
      </c>
      <c r="T151" s="280">
        <f>E151</f>
        <v>192997</v>
      </c>
      <c r="U151" s="280"/>
      <c r="V151" s="280"/>
      <c r="W151" s="280"/>
      <c r="X151" s="280"/>
      <c r="Y151" s="280"/>
    </row>
    <row r="152" spans="1:25" s="43" customFormat="1" ht="21" customHeight="1">
      <c r="A152" s="120"/>
      <c r="B152" s="138"/>
      <c r="C152" s="142">
        <v>4040</v>
      </c>
      <c r="D152" s="68" t="s">
        <v>99</v>
      </c>
      <c r="E152" s="136">
        <v>15056</v>
      </c>
      <c r="F152" s="141"/>
      <c r="G152" s="141"/>
      <c r="H152" s="148">
        <f t="shared" si="10"/>
        <v>15056</v>
      </c>
      <c r="T152" s="280"/>
      <c r="U152" s="280">
        <f>E152</f>
        <v>15056</v>
      </c>
      <c r="V152" s="280"/>
      <c r="W152" s="280"/>
      <c r="X152" s="280"/>
      <c r="Y152" s="280"/>
    </row>
    <row r="153" spans="1:25" s="43" customFormat="1" ht="21" customHeight="1">
      <c r="A153" s="120"/>
      <c r="B153" s="138"/>
      <c r="C153" s="142">
        <v>4110</v>
      </c>
      <c r="D153" s="68" t="s">
        <v>100</v>
      </c>
      <c r="E153" s="136">
        <v>39406</v>
      </c>
      <c r="F153" s="141"/>
      <c r="G153" s="141"/>
      <c r="H153" s="148">
        <f t="shared" si="10"/>
        <v>39406</v>
      </c>
      <c r="T153" s="280"/>
      <c r="U153" s="280"/>
      <c r="V153" s="280">
        <f>E153</f>
        <v>39406</v>
      </c>
      <c r="W153" s="280"/>
      <c r="X153" s="280"/>
      <c r="Y153" s="280"/>
    </row>
    <row r="154" spans="1:25" s="43" customFormat="1" ht="21" customHeight="1">
      <c r="A154" s="120"/>
      <c r="B154" s="138"/>
      <c r="C154" s="142">
        <v>4120</v>
      </c>
      <c r="D154" s="68" t="s">
        <v>101</v>
      </c>
      <c r="E154" s="136">
        <v>5367</v>
      </c>
      <c r="F154" s="141"/>
      <c r="G154" s="141"/>
      <c r="H154" s="148">
        <f t="shared" si="10"/>
        <v>5367</v>
      </c>
      <c r="T154" s="280"/>
      <c r="U154" s="280"/>
      <c r="V154" s="280"/>
      <c r="W154" s="280">
        <f>E154</f>
        <v>5367</v>
      </c>
      <c r="X154" s="280"/>
      <c r="Y154" s="280"/>
    </row>
    <row r="155" spans="1:25" s="43" customFormat="1" ht="21" customHeight="1">
      <c r="A155" s="120"/>
      <c r="B155" s="138"/>
      <c r="C155" s="142">
        <v>4210</v>
      </c>
      <c r="D155" s="68" t="s">
        <v>86</v>
      </c>
      <c r="E155" s="136">
        <f>2200+1500</f>
        <v>3700</v>
      </c>
      <c r="F155" s="141"/>
      <c r="G155" s="141"/>
      <c r="H155" s="148">
        <f t="shared" si="10"/>
        <v>3700</v>
      </c>
      <c r="T155" s="280"/>
      <c r="U155" s="280"/>
      <c r="V155" s="280"/>
      <c r="W155" s="280"/>
      <c r="X155" s="280"/>
      <c r="Y155" s="280"/>
    </row>
    <row r="156" spans="1:25" s="43" customFormat="1" ht="21" customHeight="1">
      <c r="A156" s="120"/>
      <c r="B156" s="138"/>
      <c r="C156" s="142">
        <v>4240</v>
      </c>
      <c r="D156" s="68" t="s">
        <v>141</v>
      </c>
      <c r="E156" s="136">
        <v>1500</v>
      </c>
      <c r="F156" s="141"/>
      <c r="G156" s="141"/>
      <c r="H156" s="148">
        <f t="shared" si="10"/>
        <v>1500</v>
      </c>
      <c r="T156" s="280"/>
      <c r="U156" s="280"/>
      <c r="V156" s="280"/>
      <c r="W156" s="280"/>
      <c r="X156" s="280"/>
      <c r="Y156" s="280"/>
    </row>
    <row r="157" spans="1:25" s="43" customFormat="1" ht="21" customHeight="1">
      <c r="A157" s="120"/>
      <c r="B157" s="138"/>
      <c r="C157" s="142">
        <v>4260</v>
      </c>
      <c r="D157" s="68" t="s">
        <v>109</v>
      </c>
      <c r="E157" s="136">
        <v>350</v>
      </c>
      <c r="F157" s="141"/>
      <c r="G157" s="141"/>
      <c r="H157" s="148">
        <f t="shared" si="10"/>
        <v>350</v>
      </c>
      <c r="T157" s="280"/>
      <c r="U157" s="280"/>
      <c r="V157" s="280"/>
      <c r="W157" s="280"/>
      <c r="X157" s="280"/>
      <c r="Y157" s="280"/>
    </row>
    <row r="158" spans="1:25" s="43" customFormat="1" ht="21" customHeight="1">
      <c r="A158" s="120"/>
      <c r="B158" s="138"/>
      <c r="C158" s="142">
        <v>4300</v>
      </c>
      <c r="D158" s="68" t="s">
        <v>93</v>
      </c>
      <c r="E158" s="136">
        <v>1200</v>
      </c>
      <c r="F158" s="141"/>
      <c r="G158" s="141"/>
      <c r="H158" s="148">
        <f t="shared" si="10"/>
        <v>1200</v>
      </c>
      <c r="T158" s="280"/>
      <c r="U158" s="280"/>
      <c r="V158" s="280"/>
      <c r="W158" s="280"/>
      <c r="X158" s="280"/>
      <c r="Y158" s="280"/>
    </row>
    <row r="159" spans="1:25" s="43" customFormat="1" ht="21" customHeight="1">
      <c r="A159" s="120"/>
      <c r="B159" s="138"/>
      <c r="C159" s="142">
        <v>4440</v>
      </c>
      <c r="D159" s="68" t="s">
        <v>132</v>
      </c>
      <c r="E159" s="136">
        <v>16173</v>
      </c>
      <c r="F159" s="141"/>
      <c r="G159" s="141"/>
      <c r="H159" s="148">
        <f t="shared" si="10"/>
        <v>16173</v>
      </c>
      <c r="T159" s="280"/>
      <c r="U159" s="280"/>
      <c r="V159" s="280"/>
      <c r="W159" s="280"/>
      <c r="X159" s="280"/>
      <c r="Y159" s="280"/>
    </row>
    <row r="160" spans="1:25" s="43" customFormat="1" ht="21.75" customHeight="1">
      <c r="A160" s="144"/>
      <c r="B160" s="138" t="s">
        <v>131</v>
      </c>
      <c r="C160" s="142"/>
      <c r="D160" s="68" t="s">
        <v>142</v>
      </c>
      <c r="E160" s="136">
        <f>SUM(E161:E161)</f>
        <v>2635055</v>
      </c>
      <c r="F160" s="136">
        <f>SUM(F161:F161)</f>
        <v>0</v>
      </c>
      <c r="G160" s="136">
        <f>SUM(G161:G161)</f>
        <v>0</v>
      </c>
      <c r="H160" s="136">
        <f>SUM(H161:H161)</f>
        <v>2635055</v>
      </c>
      <c r="T160" s="280"/>
      <c r="U160" s="280"/>
      <c r="V160" s="280"/>
      <c r="W160" s="280"/>
      <c r="X160" s="280"/>
      <c r="Y160" s="280"/>
    </row>
    <row r="161" spans="1:25" s="43" customFormat="1" ht="26.25" customHeight="1">
      <c r="A161" s="144"/>
      <c r="B161" s="138"/>
      <c r="C161" s="142">
        <v>2510</v>
      </c>
      <c r="D161" s="68" t="s">
        <v>143</v>
      </c>
      <c r="E161" s="136">
        <f>2635055</f>
        <v>2635055</v>
      </c>
      <c r="F161" s="141"/>
      <c r="G161" s="141"/>
      <c r="H161" s="148">
        <f>SUM(E161+F161-G161)</f>
        <v>2635055</v>
      </c>
      <c r="T161" s="280"/>
      <c r="U161" s="280"/>
      <c r="V161" s="280"/>
      <c r="W161" s="280"/>
      <c r="X161" s="280"/>
      <c r="Y161" s="280"/>
    </row>
    <row r="162" spans="1:25" s="43" customFormat="1" ht="21.75" customHeight="1">
      <c r="A162" s="144"/>
      <c r="B162" s="138" t="s">
        <v>133</v>
      </c>
      <c r="C162" s="142"/>
      <c r="D162" s="68" t="s">
        <v>63</v>
      </c>
      <c r="E162" s="136">
        <f>SUM(E163:E178)</f>
        <v>4254459</v>
      </c>
      <c r="F162" s="136">
        <f>SUM(F163:F178)</f>
        <v>0</v>
      </c>
      <c r="G162" s="136">
        <f>SUM(G163:G178)</f>
        <v>0</v>
      </c>
      <c r="H162" s="136">
        <f>SUM(H163:H178)</f>
        <v>4254459</v>
      </c>
      <c r="T162" s="280"/>
      <c r="U162" s="280"/>
      <c r="V162" s="280"/>
      <c r="W162" s="280"/>
      <c r="X162" s="280"/>
      <c r="Y162" s="280"/>
    </row>
    <row r="163" spans="1:25" s="43" customFormat="1" ht="21" customHeight="1">
      <c r="A163" s="120"/>
      <c r="B163" s="138"/>
      <c r="C163" s="142">
        <v>3020</v>
      </c>
      <c r="D163" s="68" t="s">
        <v>292</v>
      </c>
      <c r="E163" s="136">
        <v>30377</v>
      </c>
      <c r="F163" s="141"/>
      <c r="G163" s="141"/>
      <c r="H163" s="148">
        <f aca="true" t="shared" si="11" ref="H163:H178">SUM(E163+F163-G163)</f>
        <v>30377</v>
      </c>
      <c r="T163" s="280"/>
      <c r="U163" s="280"/>
      <c r="V163" s="280"/>
      <c r="W163" s="280"/>
      <c r="X163" s="280"/>
      <c r="Y163" s="280"/>
    </row>
    <row r="164" spans="1:25" s="43" customFormat="1" ht="21" customHeight="1">
      <c r="A164" s="120"/>
      <c r="B164" s="138"/>
      <c r="C164" s="142">
        <v>4010</v>
      </c>
      <c r="D164" s="68" t="s">
        <v>98</v>
      </c>
      <c r="E164" s="136">
        <v>2799505</v>
      </c>
      <c r="F164" s="141"/>
      <c r="G164" s="141"/>
      <c r="H164" s="148">
        <f t="shared" si="11"/>
        <v>2799505</v>
      </c>
      <c r="T164" s="280">
        <f>E164</f>
        <v>2799505</v>
      </c>
      <c r="U164" s="280"/>
      <c r="V164" s="280"/>
      <c r="W164" s="280"/>
      <c r="X164" s="280"/>
      <c r="Y164" s="280"/>
    </row>
    <row r="165" spans="1:25" s="43" customFormat="1" ht="21" customHeight="1">
      <c r="A165" s="120"/>
      <c r="B165" s="138"/>
      <c r="C165" s="142">
        <v>4040</v>
      </c>
      <c r="D165" s="68" t="s">
        <v>99</v>
      </c>
      <c r="E165" s="136">
        <v>221640</v>
      </c>
      <c r="F165" s="141"/>
      <c r="G165" s="141"/>
      <c r="H165" s="148">
        <f t="shared" si="11"/>
        <v>221640</v>
      </c>
      <c r="T165" s="280"/>
      <c r="U165" s="280">
        <f>E165</f>
        <v>221640</v>
      </c>
      <c r="V165" s="280"/>
      <c r="W165" s="280"/>
      <c r="X165" s="280"/>
      <c r="Y165" s="280"/>
    </row>
    <row r="166" spans="1:25" s="43" customFormat="1" ht="21" customHeight="1">
      <c r="A166" s="120"/>
      <c r="B166" s="138"/>
      <c r="C166" s="142">
        <v>4110</v>
      </c>
      <c r="D166" s="68" t="s">
        <v>100</v>
      </c>
      <c r="E166" s="136">
        <v>532621</v>
      </c>
      <c r="F166" s="141"/>
      <c r="G166" s="141"/>
      <c r="H166" s="148">
        <f t="shared" si="11"/>
        <v>532621</v>
      </c>
      <c r="T166" s="280"/>
      <c r="U166" s="280"/>
      <c r="V166" s="280">
        <f>E166</f>
        <v>532621</v>
      </c>
      <c r="W166" s="280"/>
      <c r="X166" s="280"/>
      <c r="Y166" s="280"/>
    </row>
    <row r="167" spans="1:25" s="43" customFormat="1" ht="21" customHeight="1">
      <c r="A167" s="120"/>
      <c r="B167" s="138"/>
      <c r="C167" s="142">
        <v>4120</v>
      </c>
      <c r="D167" s="68" t="s">
        <v>101</v>
      </c>
      <c r="E167" s="136">
        <v>74015</v>
      </c>
      <c r="F167" s="141"/>
      <c r="G167" s="141"/>
      <c r="H167" s="148">
        <f t="shared" si="11"/>
        <v>74015</v>
      </c>
      <c r="T167" s="280"/>
      <c r="U167" s="280"/>
      <c r="V167" s="280"/>
      <c r="W167" s="280">
        <f>E167</f>
        <v>74015</v>
      </c>
      <c r="X167" s="280"/>
      <c r="Y167" s="280"/>
    </row>
    <row r="168" spans="1:25" s="43" customFormat="1" ht="21" customHeight="1">
      <c r="A168" s="120"/>
      <c r="B168" s="138"/>
      <c r="C168" s="142">
        <v>4170</v>
      </c>
      <c r="D168" s="68" t="s">
        <v>299</v>
      </c>
      <c r="E168" s="136">
        <v>11000</v>
      </c>
      <c r="F168" s="141"/>
      <c r="G168" s="141"/>
      <c r="H168" s="148">
        <f t="shared" si="11"/>
        <v>11000</v>
      </c>
      <c r="T168" s="280"/>
      <c r="U168" s="280"/>
      <c r="V168" s="280"/>
      <c r="W168" s="280"/>
      <c r="X168" s="280">
        <f>E168</f>
        <v>11000</v>
      </c>
      <c r="Y168" s="280"/>
    </row>
    <row r="169" spans="1:25" s="43" customFormat="1" ht="21" customHeight="1">
      <c r="A169" s="120"/>
      <c r="B169" s="138"/>
      <c r="C169" s="142">
        <v>4210</v>
      </c>
      <c r="D169" s="68" t="s">
        <v>106</v>
      </c>
      <c r="E169" s="136">
        <v>105048</v>
      </c>
      <c r="F169" s="141"/>
      <c r="G169" s="141"/>
      <c r="H169" s="148">
        <f t="shared" si="11"/>
        <v>105048</v>
      </c>
      <c r="T169" s="280"/>
      <c r="U169" s="280"/>
      <c r="V169" s="280"/>
      <c r="W169" s="280"/>
      <c r="X169" s="280"/>
      <c r="Y169" s="280"/>
    </row>
    <row r="170" spans="1:25" s="43" customFormat="1" ht="21" customHeight="1">
      <c r="A170" s="120"/>
      <c r="B170" s="138"/>
      <c r="C170" s="142">
        <v>4230</v>
      </c>
      <c r="D170" s="68" t="s">
        <v>130</v>
      </c>
      <c r="E170" s="136">
        <v>1200</v>
      </c>
      <c r="F170" s="141"/>
      <c r="G170" s="141"/>
      <c r="H170" s="148">
        <f t="shared" si="11"/>
        <v>1200</v>
      </c>
      <c r="T170" s="280"/>
      <c r="U170" s="280"/>
      <c r="V170" s="280"/>
      <c r="W170" s="280"/>
      <c r="X170" s="280"/>
      <c r="Y170" s="280"/>
    </row>
    <row r="171" spans="1:25" s="43" customFormat="1" ht="21" customHeight="1">
      <c r="A171" s="120"/>
      <c r="B171" s="138"/>
      <c r="C171" s="142">
        <v>4240</v>
      </c>
      <c r="D171" s="68" t="s">
        <v>141</v>
      </c>
      <c r="E171" s="136">
        <v>4500</v>
      </c>
      <c r="F171" s="141"/>
      <c r="G171" s="141"/>
      <c r="H171" s="148">
        <f t="shared" si="11"/>
        <v>4500</v>
      </c>
      <c r="T171" s="280"/>
      <c r="U171" s="280"/>
      <c r="V171" s="280"/>
      <c r="W171" s="280"/>
      <c r="X171" s="280"/>
      <c r="Y171" s="280"/>
    </row>
    <row r="172" spans="1:25" s="43" customFormat="1" ht="21" customHeight="1">
      <c r="A172" s="120"/>
      <c r="B172" s="138"/>
      <c r="C172" s="142">
        <v>4260</v>
      </c>
      <c r="D172" s="68" t="s">
        <v>109</v>
      </c>
      <c r="E172" s="136">
        <v>225250</v>
      </c>
      <c r="F172" s="141"/>
      <c r="G172" s="141"/>
      <c r="H172" s="148">
        <f t="shared" si="11"/>
        <v>225250</v>
      </c>
      <c r="T172" s="280"/>
      <c r="U172" s="280"/>
      <c r="V172" s="280"/>
      <c r="W172" s="280"/>
      <c r="X172" s="280"/>
      <c r="Y172" s="280"/>
    </row>
    <row r="173" spans="1:25" s="43" customFormat="1" ht="21" customHeight="1">
      <c r="A173" s="120"/>
      <c r="B173" s="138"/>
      <c r="C173" s="142">
        <v>4300</v>
      </c>
      <c r="D173" s="68" t="s">
        <v>93</v>
      </c>
      <c r="E173" s="136">
        <f>60300+500</f>
        <v>60800</v>
      </c>
      <c r="F173" s="141"/>
      <c r="G173" s="141"/>
      <c r="H173" s="148">
        <f t="shared" si="11"/>
        <v>60800</v>
      </c>
      <c r="T173" s="280"/>
      <c r="U173" s="280"/>
      <c r="V173" s="280"/>
      <c r="W173" s="280"/>
      <c r="X173" s="280"/>
      <c r="Y173" s="280"/>
    </row>
    <row r="174" spans="1:25" s="43" customFormat="1" ht="21" customHeight="1">
      <c r="A174" s="120"/>
      <c r="B174" s="138"/>
      <c r="C174" s="142">
        <v>4350</v>
      </c>
      <c r="D174" s="68" t="s">
        <v>343</v>
      </c>
      <c r="E174" s="136">
        <v>5400</v>
      </c>
      <c r="F174" s="141"/>
      <c r="G174" s="141"/>
      <c r="H174" s="148">
        <f t="shared" si="11"/>
        <v>5400</v>
      </c>
      <c r="T174" s="280"/>
      <c r="U174" s="280"/>
      <c r="V174" s="280"/>
      <c r="W174" s="280"/>
      <c r="X174" s="280"/>
      <c r="Y174" s="280"/>
    </row>
    <row r="175" spans="1:25" s="43" customFormat="1" ht="21" customHeight="1">
      <c r="A175" s="120"/>
      <c r="B175" s="138"/>
      <c r="C175" s="142">
        <v>4410</v>
      </c>
      <c r="D175" s="68" t="s">
        <v>104</v>
      </c>
      <c r="E175" s="136">
        <v>6300</v>
      </c>
      <c r="F175" s="141"/>
      <c r="G175" s="141"/>
      <c r="H175" s="148">
        <f t="shared" si="11"/>
        <v>6300</v>
      </c>
      <c r="T175" s="280"/>
      <c r="U175" s="280"/>
      <c r="V175" s="280"/>
      <c r="W175" s="280"/>
      <c r="X175" s="280"/>
      <c r="Y175" s="280"/>
    </row>
    <row r="176" spans="1:25" s="43" customFormat="1" ht="21" customHeight="1">
      <c r="A176" s="120"/>
      <c r="B176" s="138"/>
      <c r="C176" s="142">
        <v>4430</v>
      </c>
      <c r="D176" s="68" t="s">
        <v>108</v>
      </c>
      <c r="E176" s="136">
        <v>4800</v>
      </c>
      <c r="F176" s="141"/>
      <c r="G176" s="141"/>
      <c r="H176" s="148">
        <f t="shared" si="11"/>
        <v>4800</v>
      </c>
      <c r="T176" s="280"/>
      <c r="U176" s="280"/>
      <c r="V176" s="280"/>
      <c r="W176" s="280"/>
      <c r="X176" s="280"/>
      <c r="Y176" s="280"/>
    </row>
    <row r="177" spans="1:25" s="43" customFormat="1" ht="21" customHeight="1">
      <c r="A177" s="120"/>
      <c r="B177" s="138"/>
      <c r="C177" s="142">
        <v>4440</v>
      </c>
      <c r="D177" s="68" t="s">
        <v>102</v>
      </c>
      <c r="E177" s="136">
        <v>168503</v>
      </c>
      <c r="F177" s="141"/>
      <c r="G177" s="141"/>
      <c r="H177" s="148">
        <f t="shared" si="11"/>
        <v>168503</v>
      </c>
      <c r="T177" s="280"/>
      <c r="U177" s="280"/>
      <c r="V177" s="280"/>
      <c r="W177" s="280"/>
      <c r="X177" s="280"/>
      <c r="Y177" s="280"/>
    </row>
    <row r="178" spans="1:25" s="43" customFormat="1" ht="21" customHeight="1">
      <c r="A178" s="120"/>
      <c r="B178" s="138"/>
      <c r="C178" s="142">
        <v>6060</v>
      </c>
      <c r="D178" s="68" t="s">
        <v>110</v>
      </c>
      <c r="E178" s="136">
        <v>3500</v>
      </c>
      <c r="F178" s="141"/>
      <c r="G178" s="141"/>
      <c r="H178" s="148">
        <f t="shared" si="11"/>
        <v>3500</v>
      </c>
      <c r="T178" s="280"/>
      <c r="U178" s="280"/>
      <c r="V178" s="280"/>
      <c r="W178" s="280"/>
      <c r="X178" s="280"/>
      <c r="Y178" s="280">
        <f>E178</f>
        <v>3500</v>
      </c>
    </row>
    <row r="179" spans="1:25" s="43" customFormat="1" ht="21.75" customHeight="1">
      <c r="A179" s="120"/>
      <c r="B179" s="138" t="s">
        <v>134</v>
      </c>
      <c r="C179" s="142"/>
      <c r="D179" s="68" t="s">
        <v>135</v>
      </c>
      <c r="E179" s="136">
        <f>SUM(E180)</f>
        <v>362500</v>
      </c>
      <c r="F179" s="136">
        <f>SUM(F180)</f>
        <v>0</v>
      </c>
      <c r="G179" s="136">
        <f>SUM(G180)</f>
        <v>0</v>
      </c>
      <c r="H179" s="136">
        <f>SUM(H180)</f>
        <v>362500</v>
      </c>
      <c r="T179" s="280"/>
      <c r="U179" s="280"/>
      <c r="V179" s="280"/>
      <c r="W179" s="280"/>
      <c r="X179" s="280"/>
      <c r="Y179" s="280"/>
    </row>
    <row r="180" spans="1:25" s="43" customFormat="1" ht="21" customHeight="1">
      <c r="A180" s="120"/>
      <c r="B180" s="138"/>
      <c r="C180" s="142">
        <v>4300</v>
      </c>
      <c r="D180" s="68" t="s">
        <v>93</v>
      </c>
      <c r="E180" s="136">
        <v>362500</v>
      </c>
      <c r="F180" s="141"/>
      <c r="G180" s="141"/>
      <c r="H180" s="148">
        <f>SUM(E180+F180-G180)</f>
        <v>362500</v>
      </c>
      <c r="T180" s="280"/>
      <c r="U180" s="280"/>
      <c r="V180" s="280"/>
      <c r="W180" s="280"/>
      <c r="X180" s="280"/>
      <c r="Y180" s="280"/>
    </row>
    <row r="181" spans="1:25" s="43" customFormat="1" ht="24" customHeight="1">
      <c r="A181" s="120"/>
      <c r="B181" s="143">
        <v>80146</v>
      </c>
      <c r="C181" s="123"/>
      <c r="D181" s="68" t="s">
        <v>196</v>
      </c>
      <c r="E181" s="136">
        <f>SUM(E182:E184)</f>
        <v>87059</v>
      </c>
      <c r="F181" s="136">
        <f>SUM(F182:F184)</f>
        <v>0</v>
      </c>
      <c r="G181" s="136">
        <f>SUM(G182:G184)</f>
        <v>0</v>
      </c>
      <c r="H181" s="136">
        <f>SUM(H182:H184)</f>
        <v>87059</v>
      </c>
      <c r="T181" s="280"/>
      <c r="U181" s="280"/>
      <c r="V181" s="280"/>
      <c r="W181" s="280"/>
      <c r="X181" s="280"/>
      <c r="Y181" s="280"/>
    </row>
    <row r="182" spans="1:25" s="43" customFormat="1" ht="21" customHeight="1">
      <c r="A182" s="120"/>
      <c r="B182" s="143"/>
      <c r="C182" s="123">
        <v>2510</v>
      </c>
      <c r="D182" s="68" t="s">
        <v>143</v>
      </c>
      <c r="E182" s="136">
        <v>10679</v>
      </c>
      <c r="F182" s="141"/>
      <c r="G182" s="141"/>
      <c r="H182" s="148">
        <f>SUM(E182+F182-G182)</f>
        <v>10679</v>
      </c>
      <c r="T182" s="280"/>
      <c r="U182" s="280"/>
      <c r="V182" s="280"/>
      <c r="W182" s="280"/>
      <c r="X182" s="280"/>
      <c r="Y182" s="280"/>
    </row>
    <row r="183" spans="1:25" s="43" customFormat="1" ht="21" customHeight="1">
      <c r="A183" s="120"/>
      <c r="B183" s="143"/>
      <c r="C183" s="123">
        <v>4300</v>
      </c>
      <c r="D183" s="68" t="s">
        <v>93</v>
      </c>
      <c r="E183" s="136">
        <v>76380</v>
      </c>
      <c r="F183" s="141"/>
      <c r="G183" s="141"/>
      <c r="H183" s="148">
        <f>SUM(E183+F183-G183)</f>
        <v>76380</v>
      </c>
      <c r="T183" s="280"/>
      <c r="U183" s="280"/>
      <c r="V183" s="280"/>
      <c r="W183" s="280"/>
      <c r="X183" s="280"/>
      <c r="Y183" s="280"/>
    </row>
    <row r="184" spans="1:25" s="43" customFormat="1" ht="21" customHeight="1">
      <c r="A184" s="120"/>
      <c r="B184" s="143"/>
      <c r="C184" s="123">
        <v>4410</v>
      </c>
      <c r="D184" s="68" t="s">
        <v>104</v>
      </c>
      <c r="E184" s="136"/>
      <c r="F184" s="141"/>
      <c r="G184" s="141"/>
      <c r="H184" s="148">
        <f>SUM(E184+F184-G184)</f>
        <v>0</v>
      </c>
      <c r="T184" s="280"/>
      <c r="U184" s="280"/>
      <c r="V184" s="280"/>
      <c r="W184" s="280"/>
      <c r="X184" s="280"/>
      <c r="Y184" s="280"/>
    </row>
    <row r="185" spans="1:25" s="43" customFormat="1" ht="21.75" customHeight="1">
      <c r="A185" s="120"/>
      <c r="B185" s="138">
        <v>80195</v>
      </c>
      <c r="C185" s="120"/>
      <c r="D185" s="68" t="s">
        <v>6</v>
      </c>
      <c r="E185" s="136">
        <f>SUM(E186:E186)</f>
        <v>123699</v>
      </c>
      <c r="F185" s="136">
        <f>SUM(F186:F186)</f>
        <v>0</v>
      </c>
      <c r="G185" s="136">
        <f>SUM(G186:G186)</f>
        <v>0</v>
      </c>
      <c r="H185" s="136">
        <f>SUM(H186:H186)</f>
        <v>123699</v>
      </c>
      <c r="T185" s="280"/>
      <c r="U185" s="280"/>
      <c r="V185" s="280"/>
      <c r="W185" s="280"/>
      <c r="X185" s="280"/>
      <c r="Y185" s="280"/>
    </row>
    <row r="186" spans="1:25" s="43" customFormat="1" ht="21" customHeight="1">
      <c r="A186" s="120"/>
      <c r="B186" s="138"/>
      <c r="C186" s="120">
        <v>4440</v>
      </c>
      <c r="D186" s="68" t="s">
        <v>102</v>
      </c>
      <c r="E186" s="136">
        <v>123699</v>
      </c>
      <c r="F186" s="141"/>
      <c r="G186" s="141"/>
      <c r="H186" s="148">
        <f>SUM(E186+F186-G186)</f>
        <v>123699</v>
      </c>
      <c r="T186" s="280"/>
      <c r="U186" s="280"/>
      <c r="V186" s="280"/>
      <c r="W186" s="280"/>
      <c r="X186" s="280"/>
      <c r="Y186" s="280"/>
    </row>
    <row r="187" spans="1:25" s="8" customFormat="1" ht="24.75" customHeight="1">
      <c r="A187" s="63" t="s">
        <v>136</v>
      </c>
      <c r="B187" s="64"/>
      <c r="C187" s="65"/>
      <c r="D187" s="66" t="s">
        <v>64</v>
      </c>
      <c r="E187" s="67">
        <f>SUM(E188,E192,)</f>
        <v>81829</v>
      </c>
      <c r="F187" s="67" t="e">
        <f>SUM(#REF!,F188,F192,)</f>
        <v>#REF!</v>
      </c>
      <c r="G187" s="67" t="e">
        <f>SUM(#REF!,G188,G192,)</f>
        <v>#REF!</v>
      </c>
      <c r="H187" s="67" t="e">
        <f>SUM(#REF!,H188,H192,)</f>
        <v>#REF!</v>
      </c>
      <c r="T187" s="280"/>
      <c r="U187" s="280"/>
      <c r="V187" s="280"/>
      <c r="W187" s="280"/>
      <c r="X187" s="280"/>
      <c r="Y187" s="280"/>
    </row>
    <row r="188" spans="1:25" s="43" customFormat="1" ht="21.75" customHeight="1">
      <c r="A188" s="120"/>
      <c r="B188" s="138" t="s">
        <v>137</v>
      </c>
      <c r="C188" s="142"/>
      <c r="D188" s="68" t="s">
        <v>65</v>
      </c>
      <c r="E188" s="136">
        <f>SUM(E189:E191)</f>
        <v>76829</v>
      </c>
      <c r="F188" s="136">
        <f>SUM(F189:F191)</f>
        <v>0</v>
      </c>
      <c r="G188" s="136">
        <f>SUM(G189:G191)</f>
        <v>0</v>
      </c>
      <c r="H188" s="136">
        <f>SUM(H189:H191)</f>
        <v>76829</v>
      </c>
      <c r="T188" s="280"/>
      <c r="U188" s="280"/>
      <c r="V188" s="280"/>
      <c r="W188" s="280"/>
      <c r="X188" s="280"/>
      <c r="Y188" s="280"/>
    </row>
    <row r="189" spans="1:25" s="43" customFormat="1" ht="21" customHeight="1">
      <c r="A189" s="120"/>
      <c r="B189" s="143"/>
      <c r="C189" s="142">
        <v>3030</v>
      </c>
      <c r="D189" s="68" t="s">
        <v>103</v>
      </c>
      <c r="E189" s="136">
        <v>15000</v>
      </c>
      <c r="F189" s="141"/>
      <c r="G189" s="141"/>
      <c r="H189" s="148">
        <f>SUM(E189+F189-G189)</f>
        <v>15000</v>
      </c>
      <c r="T189" s="280"/>
      <c r="U189" s="280"/>
      <c r="V189" s="280"/>
      <c r="W189" s="280"/>
      <c r="X189" s="280"/>
      <c r="Y189" s="280"/>
    </row>
    <row r="190" spans="1:25" s="43" customFormat="1" ht="21" customHeight="1">
      <c r="A190" s="120"/>
      <c r="B190" s="143"/>
      <c r="C190" s="142">
        <v>4170</v>
      </c>
      <c r="D190" s="68" t="s">
        <v>299</v>
      </c>
      <c r="E190" s="136">
        <v>38720</v>
      </c>
      <c r="F190" s="141"/>
      <c r="G190" s="141"/>
      <c r="H190" s="148">
        <f>SUM(E190+F190-G190)</f>
        <v>38720</v>
      </c>
      <c r="T190" s="280"/>
      <c r="U190" s="280"/>
      <c r="V190" s="280"/>
      <c r="W190" s="280"/>
      <c r="X190" s="280">
        <f>E190</f>
        <v>38720</v>
      </c>
      <c r="Y190" s="280"/>
    </row>
    <row r="191" spans="1:25" s="43" customFormat="1" ht="21" customHeight="1">
      <c r="A191" s="120"/>
      <c r="B191" s="143"/>
      <c r="C191" s="142">
        <v>6060</v>
      </c>
      <c r="D191" s="68" t="s">
        <v>110</v>
      </c>
      <c r="E191" s="136">
        <v>23109</v>
      </c>
      <c r="F191" s="141"/>
      <c r="G191" s="141"/>
      <c r="H191" s="148">
        <f>SUM(E191+F191-G191)</f>
        <v>23109</v>
      </c>
      <c r="T191" s="280"/>
      <c r="U191" s="280"/>
      <c r="V191" s="280"/>
      <c r="W191" s="280"/>
      <c r="X191" s="280"/>
      <c r="Y191" s="280">
        <f>E191</f>
        <v>23109</v>
      </c>
    </row>
    <row r="192" spans="1:25" s="43" customFormat="1" ht="21" customHeight="1">
      <c r="A192" s="120"/>
      <c r="B192" s="143">
        <v>85195</v>
      </c>
      <c r="C192" s="142"/>
      <c r="D192" s="68" t="s">
        <v>6</v>
      </c>
      <c r="E192" s="136">
        <f>SUM(E193)</f>
        <v>5000</v>
      </c>
      <c r="F192" s="136">
        <f>SUM(F193)</f>
        <v>0</v>
      </c>
      <c r="G192" s="136">
        <f>SUM(G193)</f>
        <v>0</v>
      </c>
      <c r="H192" s="136">
        <f>SUM(H193)</f>
        <v>5000</v>
      </c>
      <c r="T192" s="280"/>
      <c r="U192" s="280"/>
      <c r="V192" s="280"/>
      <c r="W192" s="280"/>
      <c r="X192" s="280"/>
      <c r="Y192" s="280"/>
    </row>
    <row r="193" spans="1:25" s="43" customFormat="1" ht="21" customHeight="1">
      <c r="A193" s="120"/>
      <c r="B193" s="143"/>
      <c r="C193" s="142">
        <v>4430</v>
      </c>
      <c r="D193" s="68" t="s">
        <v>108</v>
      </c>
      <c r="E193" s="136">
        <v>5000</v>
      </c>
      <c r="F193" s="141"/>
      <c r="G193" s="141"/>
      <c r="H193" s="148">
        <f>SUM(E193+F193-G193)</f>
        <v>5000</v>
      </c>
      <c r="T193" s="280"/>
      <c r="U193" s="280"/>
      <c r="V193" s="280"/>
      <c r="W193" s="280"/>
      <c r="X193" s="280"/>
      <c r="Y193" s="280"/>
    </row>
    <row r="194" spans="1:25" s="8" customFormat="1" ht="24.75" customHeight="1">
      <c r="A194" s="113">
        <v>852</v>
      </c>
      <c r="B194" s="64"/>
      <c r="C194" s="65"/>
      <c r="D194" s="66" t="s">
        <v>280</v>
      </c>
      <c r="E194" s="67">
        <f>E195+E210+E212+E215+E217+E233+E235</f>
        <v>9861022</v>
      </c>
      <c r="F194" s="67">
        <f>SUM(F195,F210,F212,F215,F217,F233,F235)</f>
        <v>0</v>
      </c>
      <c r="G194" s="67">
        <f>SUM(G195,G210,G212,G215,G217,G233,G235)</f>
        <v>0</v>
      </c>
      <c r="H194" s="67">
        <f>SUM(H195,H210,H212,H215,H217,H233,H235)</f>
        <v>9855502</v>
      </c>
      <c r="T194" s="280"/>
      <c r="U194" s="280"/>
      <c r="V194" s="280"/>
      <c r="W194" s="280"/>
      <c r="X194" s="280"/>
      <c r="Y194" s="280"/>
    </row>
    <row r="195" spans="1:25" s="43" customFormat="1" ht="42" customHeight="1">
      <c r="A195" s="164"/>
      <c r="B195" s="89">
        <v>85212</v>
      </c>
      <c r="C195" s="134"/>
      <c r="D195" s="132" t="s">
        <v>278</v>
      </c>
      <c r="E195" s="124">
        <f>SUM(E196:E209)</f>
        <v>5569902</v>
      </c>
      <c r="F195" s="124">
        <f>SUM(F196:F209)</f>
        <v>0</v>
      </c>
      <c r="G195" s="124">
        <f>SUM(G196:G209)</f>
        <v>0</v>
      </c>
      <c r="H195" s="124">
        <f>SUM(H196:H209)</f>
        <v>5569902</v>
      </c>
      <c r="T195" s="280"/>
      <c r="U195" s="280"/>
      <c r="V195" s="280"/>
      <c r="W195" s="280"/>
      <c r="X195" s="280"/>
      <c r="Y195" s="280"/>
    </row>
    <row r="196" spans="1:25" s="43" customFormat="1" ht="21" customHeight="1">
      <c r="A196" s="164"/>
      <c r="B196" s="89"/>
      <c r="C196" s="134">
        <v>3020</v>
      </c>
      <c r="D196" s="68" t="s">
        <v>292</v>
      </c>
      <c r="E196" s="124">
        <v>2000</v>
      </c>
      <c r="F196" s="141"/>
      <c r="G196" s="141"/>
      <c r="H196" s="148">
        <f aca="true" t="shared" si="12" ref="H196:H209">SUM(E196+F196-G196)</f>
        <v>2000</v>
      </c>
      <c r="T196" s="280"/>
      <c r="U196" s="280"/>
      <c r="V196" s="280"/>
      <c r="W196" s="280"/>
      <c r="X196" s="280"/>
      <c r="Y196" s="280"/>
    </row>
    <row r="197" spans="1:25" s="43" customFormat="1" ht="21" customHeight="1">
      <c r="A197" s="164"/>
      <c r="B197" s="89"/>
      <c r="C197" s="134">
        <v>3110</v>
      </c>
      <c r="D197" s="132" t="s">
        <v>129</v>
      </c>
      <c r="E197" s="124">
        <f>5346602-4812-23800</f>
        <v>5317990</v>
      </c>
      <c r="F197" s="141"/>
      <c r="G197" s="141"/>
      <c r="H197" s="148">
        <f t="shared" si="12"/>
        <v>5317990</v>
      </c>
      <c r="T197" s="280"/>
      <c r="U197" s="280"/>
      <c r="V197" s="280"/>
      <c r="W197" s="280"/>
      <c r="X197" s="280"/>
      <c r="Y197" s="280"/>
    </row>
    <row r="198" spans="1:25" s="43" customFormat="1" ht="21" customHeight="1">
      <c r="A198" s="164"/>
      <c r="B198" s="89"/>
      <c r="C198" s="89">
        <v>4010</v>
      </c>
      <c r="D198" s="23" t="s">
        <v>98</v>
      </c>
      <c r="E198" s="124">
        <v>110400</v>
      </c>
      <c r="F198" s="141"/>
      <c r="G198" s="141"/>
      <c r="H198" s="148">
        <f t="shared" si="12"/>
        <v>110400</v>
      </c>
      <c r="T198" s="280">
        <f>E198</f>
        <v>110400</v>
      </c>
      <c r="U198" s="280"/>
      <c r="V198" s="280"/>
      <c r="W198" s="280"/>
      <c r="X198" s="280"/>
      <c r="Y198" s="280"/>
    </row>
    <row r="199" spans="1:25" s="43" customFormat="1" ht="21" customHeight="1">
      <c r="A199" s="164"/>
      <c r="B199" s="89"/>
      <c r="C199" s="89">
        <v>4040</v>
      </c>
      <c r="D199" s="23" t="s">
        <v>99</v>
      </c>
      <c r="E199" s="124">
        <v>7500</v>
      </c>
      <c r="F199" s="141"/>
      <c r="G199" s="141"/>
      <c r="H199" s="148">
        <f t="shared" si="12"/>
        <v>7500</v>
      </c>
      <c r="T199" s="280"/>
      <c r="U199" s="280">
        <f>E199</f>
        <v>7500</v>
      </c>
      <c r="V199" s="280"/>
      <c r="W199" s="280"/>
      <c r="X199" s="280"/>
      <c r="Y199" s="280"/>
    </row>
    <row r="200" spans="1:25" s="43" customFormat="1" ht="21" customHeight="1">
      <c r="A200" s="164"/>
      <c r="B200" s="89"/>
      <c r="C200" s="89">
        <v>4110</v>
      </c>
      <c r="D200" s="23" t="s">
        <v>100</v>
      </c>
      <c r="E200" s="124">
        <f>20300+23800</f>
        <v>44100</v>
      </c>
      <c r="F200" s="141"/>
      <c r="G200" s="141"/>
      <c r="H200" s="148">
        <f t="shared" si="12"/>
        <v>44100</v>
      </c>
      <c r="T200" s="280"/>
      <c r="U200" s="280"/>
      <c r="V200" s="280">
        <f>E200</f>
        <v>44100</v>
      </c>
      <c r="W200" s="280"/>
      <c r="X200" s="280"/>
      <c r="Y200" s="280"/>
    </row>
    <row r="201" spans="1:25" s="43" customFormat="1" ht="21" customHeight="1">
      <c r="A201" s="164"/>
      <c r="B201" s="89"/>
      <c r="C201" s="89">
        <v>4120</v>
      </c>
      <c r="D201" s="23" t="s">
        <v>101</v>
      </c>
      <c r="E201" s="124">
        <v>2800</v>
      </c>
      <c r="F201" s="141"/>
      <c r="G201" s="141"/>
      <c r="H201" s="148">
        <f t="shared" si="12"/>
        <v>2800</v>
      </c>
      <c r="T201" s="280"/>
      <c r="U201" s="280"/>
      <c r="V201" s="280"/>
      <c r="W201" s="280">
        <f>E201</f>
        <v>2800</v>
      </c>
      <c r="X201" s="280"/>
      <c r="Y201" s="280"/>
    </row>
    <row r="202" spans="1:25" s="43" customFormat="1" ht="21" customHeight="1">
      <c r="A202" s="164"/>
      <c r="B202" s="133"/>
      <c r="C202" s="89">
        <v>4170</v>
      </c>
      <c r="D202" s="68" t="s">
        <v>299</v>
      </c>
      <c r="E202" s="124">
        <v>10000</v>
      </c>
      <c r="F202" s="141"/>
      <c r="G202" s="141"/>
      <c r="H202" s="148">
        <f t="shared" si="12"/>
        <v>10000</v>
      </c>
      <c r="T202" s="280"/>
      <c r="U202" s="280"/>
      <c r="V202" s="280"/>
      <c r="W202" s="280"/>
      <c r="X202" s="280">
        <f>E202</f>
        <v>10000</v>
      </c>
      <c r="Y202" s="280"/>
    </row>
    <row r="203" spans="1:25" s="43" customFormat="1" ht="21" customHeight="1">
      <c r="A203" s="164"/>
      <c r="B203" s="133"/>
      <c r="C203" s="89">
        <v>4210</v>
      </c>
      <c r="D203" s="23" t="s">
        <v>106</v>
      </c>
      <c r="E203" s="124">
        <f>4812+20000</f>
        <v>24812</v>
      </c>
      <c r="F203" s="141"/>
      <c r="G203" s="141"/>
      <c r="H203" s="148">
        <f t="shared" si="12"/>
        <v>24812</v>
      </c>
      <c r="T203" s="280"/>
      <c r="U203" s="280"/>
      <c r="V203" s="280"/>
      <c r="W203" s="280"/>
      <c r="X203" s="280"/>
      <c r="Y203" s="280"/>
    </row>
    <row r="204" spans="1:25" s="43" customFormat="1" ht="21" customHeight="1">
      <c r="A204" s="164"/>
      <c r="B204" s="133"/>
      <c r="C204" s="89">
        <v>4280</v>
      </c>
      <c r="D204" s="23" t="s">
        <v>371</v>
      </c>
      <c r="E204" s="124">
        <v>500</v>
      </c>
      <c r="F204" s="141"/>
      <c r="G204" s="141"/>
      <c r="H204" s="148">
        <f t="shared" si="12"/>
        <v>500</v>
      </c>
      <c r="T204" s="280"/>
      <c r="U204" s="280"/>
      <c r="V204" s="280"/>
      <c r="W204" s="280"/>
      <c r="X204" s="280"/>
      <c r="Y204" s="280"/>
    </row>
    <row r="205" spans="1:25" s="43" customFormat="1" ht="21" customHeight="1">
      <c r="A205" s="164"/>
      <c r="B205" s="133"/>
      <c r="C205" s="89">
        <v>4300</v>
      </c>
      <c r="D205" s="23" t="s">
        <v>93</v>
      </c>
      <c r="E205" s="124">
        <v>39000</v>
      </c>
      <c r="F205" s="141"/>
      <c r="G205" s="141"/>
      <c r="H205" s="148">
        <f t="shared" si="12"/>
        <v>39000</v>
      </c>
      <c r="T205" s="280"/>
      <c r="U205" s="280"/>
      <c r="V205" s="280"/>
      <c r="W205" s="280"/>
      <c r="X205" s="280"/>
      <c r="Y205" s="280"/>
    </row>
    <row r="206" spans="1:25" s="43" customFormat="1" ht="21" customHeight="1">
      <c r="A206" s="164"/>
      <c r="B206" s="133"/>
      <c r="C206" s="89">
        <v>4350</v>
      </c>
      <c r="D206" s="23" t="s">
        <v>373</v>
      </c>
      <c r="E206" s="124">
        <v>2000</v>
      </c>
      <c r="F206" s="141"/>
      <c r="G206" s="141"/>
      <c r="H206" s="148">
        <f t="shared" si="12"/>
        <v>2000</v>
      </c>
      <c r="T206" s="280"/>
      <c r="U206" s="280"/>
      <c r="V206" s="280"/>
      <c r="W206" s="280"/>
      <c r="X206" s="280"/>
      <c r="Y206" s="280"/>
    </row>
    <row r="207" spans="1:25" s="43" customFormat="1" ht="21" customHeight="1">
      <c r="A207" s="164"/>
      <c r="B207" s="133"/>
      <c r="C207" s="89">
        <v>4410</v>
      </c>
      <c r="D207" s="23" t="s">
        <v>104</v>
      </c>
      <c r="E207" s="124">
        <v>3000</v>
      </c>
      <c r="F207" s="141"/>
      <c r="G207" s="141"/>
      <c r="H207" s="148">
        <f t="shared" si="12"/>
        <v>3000</v>
      </c>
      <c r="T207" s="280"/>
      <c r="U207" s="280"/>
      <c r="V207" s="280"/>
      <c r="W207" s="280"/>
      <c r="X207" s="280"/>
      <c r="Y207" s="280"/>
    </row>
    <row r="208" spans="1:25" s="43" customFormat="1" ht="21" customHeight="1">
      <c r="A208" s="164"/>
      <c r="B208" s="133"/>
      <c r="C208" s="89">
        <v>4430</v>
      </c>
      <c r="D208" s="68" t="s">
        <v>108</v>
      </c>
      <c r="E208" s="124">
        <v>2000</v>
      </c>
      <c r="F208" s="141"/>
      <c r="G208" s="141"/>
      <c r="H208" s="148">
        <f t="shared" si="12"/>
        <v>2000</v>
      </c>
      <c r="T208" s="280"/>
      <c r="U208" s="280"/>
      <c r="V208" s="280"/>
      <c r="W208" s="280"/>
      <c r="X208" s="280"/>
      <c r="Y208" s="280"/>
    </row>
    <row r="209" spans="1:25" s="43" customFormat="1" ht="21" customHeight="1">
      <c r="A209" s="164"/>
      <c r="B209" s="133"/>
      <c r="C209" s="89">
        <v>4440</v>
      </c>
      <c r="D209" s="23" t="s">
        <v>102</v>
      </c>
      <c r="E209" s="124">
        <v>3800</v>
      </c>
      <c r="F209" s="141"/>
      <c r="G209" s="141"/>
      <c r="H209" s="148">
        <f t="shared" si="12"/>
        <v>3800</v>
      </c>
      <c r="T209" s="280"/>
      <c r="U209" s="280"/>
      <c r="V209" s="280"/>
      <c r="W209" s="280"/>
      <c r="X209" s="280"/>
      <c r="Y209" s="280"/>
    </row>
    <row r="210" spans="1:25" s="43" customFormat="1" ht="60" customHeight="1">
      <c r="A210" s="120"/>
      <c r="B210" s="143">
        <v>85213</v>
      </c>
      <c r="C210" s="142"/>
      <c r="D210" s="68" t="s">
        <v>277</v>
      </c>
      <c r="E210" s="136">
        <f>SUM(E211)</f>
        <v>74700</v>
      </c>
      <c r="F210" s="136">
        <f>SUM(F211)</f>
        <v>0</v>
      </c>
      <c r="G210" s="136">
        <f>SUM(G211)</f>
        <v>0</v>
      </c>
      <c r="H210" s="136">
        <f>SUM(H211)</f>
        <v>74700</v>
      </c>
      <c r="T210" s="280"/>
      <c r="U210" s="280"/>
      <c r="V210" s="280"/>
      <c r="W210" s="280"/>
      <c r="X210" s="280"/>
      <c r="Y210" s="280"/>
    </row>
    <row r="211" spans="1:25" s="43" customFormat="1" ht="21" customHeight="1">
      <c r="A211" s="120"/>
      <c r="B211" s="143"/>
      <c r="C211" s="142">
        <v>4130</v>
      </c>
      <c r="D211" s="68" t="s">
        <v>138</v>
      </c>
      <c r="E211" s="136">
        <f>38000+36700</f>
        <v>74700</v>
      </c>
      <c r="F211" s="141"/>
      <c r="G211" s="141"/>
      <c r="H211" s="148">
        <f>SUM(E211+F211-G211)</f>
        <v>74700</v>
      </c>
      <c r="T211" s="280"/>
      <c r="U211" s="280"/>
      <c r="V211" s="280"/>
      <c r="W211" s="280"/>
      <c r="X211" s="280"/>
      <c r="Y211" s="280"/>
    </row>
    <row r="212" spans="1:25" s="43" customFormat="1" ht="33.75" customHeight="1">
      <c r="A212" s="120"/>
      <c r="B212" s="138">
        <v>85214</v>
      </c>
      <c r="C212" s="142"/>
      <c r="D212" s="68" t="s">
        <v>342</v>
      </c>
      <c r="E212" s="136">
        <f>SUM(E213:E214)</f>
        <v>1508400</v>
      </c>
      <c r="F212" s="136">
        <f>SUM(F213:F214)</f>
        <v>0</v>
      </c>
      <c r="G212" s="136">
        <f>SUM(G213:G214)</f>
        <v>0</v>
      </c>
      <c r="H212" s="136">
        <f>SUM(H213:H214)</f>
        <v>1508400</v>
      </c>
      <c r="T212" s="280"/>
      <c r="U212" s="280"/>
      <c r="V212" s="280"/>
      <c r="W212" s="280"/>
      <c r="X212" s="280"/>
      <c r="Y212" s="280"/>
    </row>
    <row r="213" spans="1:25" s="43" customFormat="1" ht="21" customHeight="1">
      <c r="A213" s="120"/>
      <c r="B213" s="138"/>
      <c r="C213" s="142">
        <v>3110</v>
      </c>
      <c r="D213" s="68" t="s">
        <v>129</v>
      </c>
      <c r="E213" s="136">
        <f>1002400+503000</f>
        <v>1505400</v>
      </c>
      <c r="F213" s="141"/>
      <c r="G213" s="141"/>
      <c r="H213" s="148">
        <f>SUM(E213+F213-G213)</f>
        <v>1505400</v>
      </c>
      <c r="T213" s="280"/>
      <c r="U213" s="280"/>
      <c r="V213" s="280"/>
      <c r="W213" s="280"/>
      <c r="X213" s="280"/>
      <c r="Y213" s="280"/>
    </row>
    <row r="214" spans="1:25" s="43" customFormat="1" ht="21" customHeight="1">
      <c r="A214" s="120"/>
      <c r="B214" s="138"/>
      <c r="C214" s="142">
        <v>4110</v>
      </c>
      <c r="D214" s="68" t="s">
        <v>100</v>
      </c>
      <c r="E214" s="136">
        <v>3000</v>
      </c>
      <c r="F214" s="141"/>
      <c r="G214" s="141"/>
      <c r="H214" s="148">
        <f>SUM(E214+F214-G214)</f>
        <v>3000</v>
      </c>
      <c r="T214" s="280"/>
      <c r="U214" s="280"/>
      <c r="V214" s="280">
        <f>E214</f>
        <v>3000</v>
      </c>
      <c r="W214" s="280"/>
      <c r="X214" s="280"/>
      <c r="Y214" s="280"/>
    </row>
    <row r="215" spans="1:25" s="43" customFormat="1" ht="21.75" customHeight="1">
      <c r="A215" s="120"/>
      <c r="B215" s="138">
        <v>85215</v>
      </c>
      <c r="C215" s="142"/>
      <c r="D215" s="68" t="s">
        <v>69</v>
      </c>
      <c r="E215" s="136">
        <f>SUM(E216)</f>
        <v>1550000</v>
      </c>
      <c r="F215" s="136">
        <f>SUM(F216)</f>
        <v>0</v>
      </c>
      <c r="G215" s="136">
        <f>SUM(G216)</f>
        <v>0</v>
      </c>
      <c r="H215" s="136">
        <f>SUM(H216)</f>
        <v>1550000</v>
      </c>
      <c r="T215" s="280"/>
      <c r="U215" s="280"/>
      <c r="V215" s="280"/>
      <c r="W215" s="280"/>
      <c r="X215" s="280"/>
      <c r="Y215" s="280"/>
    </row>
    <row r="216" spans="1:25" s="43" customFormat="1" ht="21" customHeight="1">
      <c r="A216" s="120"/>
      <c r="B216" s="138"/>
      <c r="C216" s="142">
        <v>3110</v>
      </c>
      <c r="D216" s="68" t="s">
        <v>129</v>
      </c>
      <c r="E216" s="136">
        <v>1550000</v>
      </c>
      <c r="F216" s="141"/>
      <c r="G216" s="141"/>
      <c r="H216" s="148">
        <f>SUM(E216+F216-G216)</f>
        <v>1550000</v>
      </c>
      <c r="T216" s="280"/>
      <c r="U216" s="280"/>
      <c r="V216" s="280"/>
      <c r="W216" s="280"/>
      <c r="X216" s="280"/>
      <c r="Y216" s="280"/>
    </row>
    <row r="217" spans="1:25" s="43" customFormat="1" ht="21.75" customHeight="1">
      <c r="A217" s="120"/>
      <c r="B217" s="138">
        <v>85219</v>
      </c>
      <c r="C217" s="142"/>
      <c r="D217" s="68" t="s">
        <v>70</v>
      </c>
      <c r="E217" s="136">
        <f>SUM(E218:E232)</f>
        <v>870954</v>
      </c>
      <c r="F217" s="136">
        <f>SUM(F218:F232)</f>
        <v>0</v>
      </c>
      <c r="G217" s="136">
        <f>SUM(G218:G232)</f>
        <v>0</v>
      </c>
      <c r="H217" s="136">
        <f>SUM(H218:H232)</f>
        <v>870954</v>
      </c>
      <c r="T217" s="280"/>
      <c r="U217" s="280"/>
      <c r="V217" s="280"/>
      <c r="W217" s="280"/>
      <c r="X217" s="280"/>
      <c r="Y217" s="280"/>
    </row>
    <row r="218" spans="1:25" s="43" customFormat="1" ht="21" customHeight="1">
      <c r="A218" s="120"/>
      <c r="B218" s="138"/>
      <c r="C218" s="142">
        <v>3020</v>
      </c>
      <c r="D218" s="68" t="s">
        <v>354</v>
      </c>
      <c r="E218" s="136">
        <v>1400</v>
      </c>
      <c r="F218" s="141"/>
      <c r="G218" s="141"/>
      <c r="H218" s="148">
        <f aca="true" t="shared" si="13" ref="H218:H232">SUM(E218+F218-G218)</f>
        <v>1400</v>
      </c>
      <c r="T218" s="280"/>
      <c r="U218" s="280"/>
      <c r="V218" s="280"/>
      <c r="W218" s="280"/>
      <c r="X218" s="280"/>
      <c r="Y218" s="280"/>
    </row>
    <row r="219" spans="1:25" s="43" customFormat="1" ht="21" customHeight="1">
      <c r="A219" s="120"/>
      <c r="B219" s="138"/>
      <c r="C219" s="142">
        <v>4010</v>
      </c>
      <c r="D219" s="68" t="s">
        <v>98</v>
      </c>
      <c r="E219" s="136">
        <v>432615</v>
      </c>
      <c r="F219" s="141"/>
      <c r="G219" s="141"/>
      <c r="H219" s="148">
        <f t="shared" si="13"/>
        <v>432615</v>
      </c>
      <c r="T219" s="280">
        <f>E219</f>
        <v>432615</v>
      </c>
      <c r="U219" s="280"/>
      <c r="V219" s="280"/>
      <c r="W219" s="280"/>
      <c r="X219" s="280"/>
      <c r="Y219" s="280"/>
    </row>
    <row r="220" spans="1:25" s="43" customFormat="1" ht="21" customHeight="1">
      <c r="A220" s="120"/>
      <c r="B220" s="138"/>
      <c r="C220" s="142">
        <v>4040</v>
      </c>
      <c r="D220" s="68" t="s">
        <v>99</v>
      </c>
      <c r="E220" s="136">
        <v>34520</v>
      </c>
      <c r="F220" s="141"/>
      <c r="G220" s="141"/>
      <c r="H220" s="148">
        <f t="shared" si="13"/>
        <v>34520</v>
      </c>
      <c r="T220" s="280"/>
      <c r="U220" s="280">
        <f>E220</f>
        <v>34520</v>
      </c>
      <c r="V220" s="280"/>
      <c r="W220" s="280"/>
      <c r="X220" s="280"/>
      <c r="Y220" s="280"/>
    </row>
    <row r="221" spans="1:25" s="43" customFormat="1" ht="21" customHeight="1">
      <c r="A221" s="120"/>
      <c r="B221" s="138"/>
      <c r="C221" s="142">
        <v>4110</v>
      </c>
      <c r="D221" s="68" t="s">
        <v>100</v>
      </c>
      <c r="E221" s="136">
        <v>83178</v>
      </c>
      <c r="F221" s="141"/>
      <c r="G221" s="141"/>
      <c r="H221" s="148">
        <f t="shared" si="13"/>
        <v>83178</v>
      </c>
      <c r="T221" s="280"/>
      <c r="U221" s="280"/>
      <c r="V221" s="280">
        <f>E221</f>
        <v>83178</v>
      </c>
      <c r="W221" s="280"/>
      <c r="X221" s="280"/>
      <c r="Y221" s="280"/>
    </row>
    <row r="222" spans="1:25" s="43" customFormat="1" ht="21" customHeight="1">
      <c r="A222" s="120"/>
      <c r="B222" s="138"/>
      <c r="C222" s="142">
        <v>4120</v>
      </c>
      <c r="D222" s="68" t="s">
        <v>101</v>
      </c>
      <c r="E222" s="136">
        <v>11445</v>
      </c>
      <c r="F222" s="141"/>
      <c r="G222" s="141"/>
      <c r="H222" s="148">
        <f t="shared" si="13"/>
        <v>11445</v>
      </c>
      <c r="T222" s="280"/>
      <c r="U222" s="280"/>
      <c r="V222" s="280"/>
      <c r="W222" s="280">
        <f>E222</f>
        <v>11445</v>
      </c>
      <c r="X222" s="280"/>
      <c r="Y222" s="280"/>
    </row>
    <row r="223" spans="1:25" s="43" customFormat="1" ht="21" customHeight="1">
      <c r="A223" s="120"/>
      <c r="B223" s="138"/>
      <c r="C223" s="142">
        <v>4170</v>
      </c>
      <c r="D223" s="68" t="s">
        <v>299</v>
      </c>
      <c r="E223" s="136">
        <v>24700</v>
      </c>
      <c r="F223" s="141"/>
      <c r="G223" s="141"/>
      <c r="H223" s="148">
        <f t="shared" si="13"/>
        <v>24700</v>
      </c>
      <c r="T223" s="280"/>
      <c r="U223" s="280"/>
      <c r="V223" s="280"/>
      <c r="W223" s="280"/>
      <c r="X223" s="280">
        <f>E223</f>
        <v>24700</v>
      </c>
      <c r="Y223" s="280"/>
    </row>
    <row r="224" spans="1:25" s="43" customFormat="1" ht="21" customHeight="1">
      <c r="A224" s="120"/>
      <c r="B224" s="138"/>
      <c r="C224" s="142">
        <v>4210</v>
      </c>
      <c r="D224" s="68" t="s">
        <v>106</v>
      </c>
      <c r="E224" s="136">
        <v>31600</v>
      </c>
      <c r="F224" s="141"/>
      <c r="G224" s="141"/>
      <c r="H224" s="148">
        <f t="shared" si="13"/>
        <v>31600</v>
      </c>
      <c r="T224" s="280"/>
      <c r="U224" s="280"/>
      <c r="V224" s="280"/>
      <c r="W224" s="280"/>
      <c r="X224" s="280"/>
      <c r="Y224" s="280"/>
    </row>
    <row r="225" spans="1:25" s="43" customFormat="1" ht="21" customHeight="1">
      <c r="A225" s="120"/>
      <c r="B225" s="138"/>
      <c r="C225" s="142">
        <v>4220</v>
      </c>
      <c r="D225" s="68" t="s">
        <v>263</v>
      </c>
      <c r="E225" s="136">
        <v>65000</v>
      </c>
      <c r="F225" s="141"/>
      <c r="G225" s="141"/>
      <c r="H225" s="148">
        <f t="shared" si="13"/>
        <v>65000</v>
      </c>
      <c r="T225" s="280"/>
      <c r="U225" s="280"/>
      <c r="V225" s="280"/>
      <c r="W225" s="280"/>
      <c r="X225" s="280"/>
      <c r="Y225" s="280"/>
    </row>
    <row r="226" spans="1:25" s="43" customFormat="1" ht="21" customHeight="1">
      <c r="A226" s="120"/>
      <c r="B226" s="138"/>
      <c r="C226" s="142">
        <v>4260</v>
      </c>
      <c r="D226" s="68" t="s">
        <v>109</v>
      </c>
      <c r="E226" s="136">
        <v>10560</v>
      </c>
      <c r="F226" s="141"/>
      <c r="G226" s="141"/>
      <c r="H226" s="148">
        <f t="shared" si="13"/>
        <v>10560</v>
      </c>
      <c r="T226" s="280"/>
      <c r="U226" s="280"/>
      <c r="V226" s="280"/>
      <c r="W226" s="280"/>
      <c r="X226" s="280"/>
      <c r="Y226" s="280"/>
    </row>
    <row r="227" spans="1:25" s="43" customFormat="1" ht="21" customHeight="1">
      <c r="A227" s="120"/>
      <c r="B227" s="138"/>
      <c r="C227" s="142">
        <v>4280</v>
      </c>
      <c r="D227" s="68" t="s">
        <v>316</v>
      </c>
      <c r="E227" s="136">
        <v>1850</v>
      </c>
      <c r="F227" s="141"/>
      <c r="G227" s="141"/>
      <c r="H227" s="148">
        <f t="shared" si="13"/>
        <v>1850</v>
      </c>
      <c r="T227" s="280"/>
      <c r="U227" s="280"/>
      <c r="V227" s="280"/>
      <c r="W227" s="280"/>
      <c r="X227" s="280"/>
      <c r="Y227" s="280"/>
    </row>
    <row r="228" spans="1:25" s="43" customFormat="1" ht="21" customHeight="1">
      <c r="A228" s="120"/>
      <c r="B228" s="138"/>
      <c r="C228" s="142">
        <v>4300</v>
      </c>
      <c r="D228" s="68" t="s">
        <v>93</v>
      </c>
      <c r="E228" s="136">
        <v>151628</v>
      </c>
      <c r="F228" s="141"/>
      <c r="G228" s="141"/>
      <c r="H228" s="148">
        <f t="shared" si="13"/>
        <v>151628</v>
      </c>
      <c r="T228" s="280"/>
      <c r="U228" s="280"/>
      <c r="V228" s="280"/>
      <c r="W228" s="280"/>
      <c r="X228" s="280"/>
      <c r="Y228" s="280"/>
    </row>
    <row r="229" spans="1:25" s="43" customFormat="1" ht="21" customHeight="1">
      <c r="A229" s="120"/>
      <c r="B229" s="138"/>
      <c r="C229" s="142">
        <v>4350</v>
      </c>
      <c r="D229" s="68" t="s">
        <v>343</v>
      </c>
      <c r="E229" s="136">
        <v>920</v>
      </c>
      <c r="F229" s="141"/>
      <c r="G229" s="141"/>
      <c r="H229" s="148">
        <f t="shared" si="13"/>
        <v>920</v>
      </c>
      <c r="T229" s="280"/>
      <c r="U229" s="280"/>
      <c r="V229" s="280"/>
      <c r="W229" s="280"/>
      <c r="X229" s="280"/>
      <c r="Y229" s="280"/>
    </row>
    <row r="230" spans="1:25" s="43" customFormat="1" ht="21" customHeight="1">
      <c r="A230" s="120"/>
      <c r="B230" s="138"/>
      <c r="C230" s="142">
        <v>4410</v>
      </c>
      <c r="D230" s="68" t="s">
        <v>104</v>
      </c>
      <c r="E230" s="136">
        <v>5700</v>
      </c>
      <c r="F230" s="141"/>
      <c r="G230" s="141"/>
      <c r="H230" s="148">
        <f t="shared" si="13"/>
        <v>5700</v>
      </c>
      <c r="T230" s="280"/>
      <c r="U230" s="280"/>
      <c r="V230" s="280"/>
      <c r="W230" s="280"/>
      <c r="X230" s="280"/>
      <c r="Y230" s="280"/>
    </row>
    <row r="231" spans="1:25" s="43" customFormat="1" ht="21" customHeight="1">
      <c r="A231" s="120"/>
      <c r="B231" s="138"/>
      <c r="C231" s="142">
        <v>4430</v>
      </c>
      <c r="D231" s="68" t="s">
        <v>108</v>
      </c>
      <c r="E231" s="136">
        <v>1200</v>
      </c>
      <c r="F231" s="141"/>
      <c r="G231" s="141"/>
      <c r="H231" s="148">
        <f t="shared" si="13"/>
        <v>1200</v>
      </c>
      <c r="T231" s="280"/>
      <c r="U231" s="280"/>
      <c r="V231" s="280"/>
      <c r="W231" s="280"/>
      <c r="X231" s="280"/>
      <c r="Y231" s="280"/>
    </row>
    <row r="232" spans="1:25" s="43" customFormat="1" ht="21" customHeight="1">
      <c r="A232" s="120"/>
      <c r="B232" s="138"/>
      <c r="C232" s="142">
        <v>4440</v>
      </c>
      <c r="D232" s="68" t="s">
        <v>102</v>
      </c>
      <c r="E232" s="136">
        <v>14638</v>
      </c>
      <c r="F232" s="141"/>
      <c r="G232" s="141"/>
      <c r="H232" s="148">
        <f t="shared" si="13"/>
        <v>14638</v>
      </c>
      <c r="T232" s="280"/>
      <c r="U232" s="280"/>
      <c r="V232" s="280"/>
      <c r="W232" s="280"/>
      <c r="X232" s="280"/>
      <c r="Y232" s="280"/>
    </row>
    <row r="233" spans="1:25" s="43" customFormat="1" ht="21.75" customHeight="1">
      <c r="A233" s="120"/>
      <c r="B233" s="138">
        <v>85228</v>
      </c>
      <c r="C233" s="142"/>
      <c r="D233" s="68" t="s">
        <v>139</v>
      </c>
      <c r="E233" s="136">
        <f>SUM(E234)</f>
        <v>140000</v>
      </c>
      <c r="F233" s="136">
        <f>SUM(F234)</f>
        <v>0</v>
      </c>
      <c r="G233" s="136">
        <f>SUM(G234)</f>
        <v>0</v>
      </c>
      <c r="H233" s="136">
        <f>SUM(H234)</f>
        <v>140000</v>
      </c>
      <c r="T233" s="280"/>
      <c r="U233" s="280"/>
      <c r="V233" s="280"/>
      <c r="W233" s="280"/>
      <c r="X233" s="280"/>
      <c r="Y233" s="280"/>
    </row>
    <row r="234" spans="1:25" s="43" customFormat="1" ht="21" customHeight="1">
      <c r="A234" s="120"/>
      <c r="B234" s="138"/>
      <c r="C234" s="142">
        <v>4300</v>
      </c>
      <c r="D234" s="68" t="s">
        <v>93</v>
      </c>
      <c r="E234" s="136">
        <v>140000</v>
      </c>
      <c r="F234" s="141"/>
      <c r="G234" s="141"/>
      <c r="H234" s="148">
        <f>SUM(E234+F234-G234)</f>
        <v>140000</v>
      </c>
      <c r="T234" s="280"/>
      <c r="U234" s="280"/>
      <c r="V234" s="280"/>
      <c r="W234" s="280"/>
      <c r="X234" s="280"/>
      <c r="Y234" s="280"/>
    </row>
    <row r="235" spans="1:25" s="43" customFormat="1" ht="21.75" customHeight="1">
      <c r="A235" s="120"/>
      <c r="B235" s="138" t="s">
        <v>233</v>
      </c>
      <c r="C235" s="142"/>
      <c r="D235" s="68" t="s">
        <v>6</v>
      </c>
      <c r="E235" s="136">
        <f>SUM(E236:E237)</f>
        <v>147066</v>
      </c>
      <c r="F235" s="136">
        <f>SUM(F236:F236)</f>
        <v>0</v>
      </c>
      <c r="G235" s="136">
        <f>SUM(G236:G236)</f>
        <v>0</v>
      </c>
      <c r="H235" s="136">
        <f>SUM(H236:H236)</f>
        <v>141546</v>
      </c>
      <c r="T235" s="280"/>
      <c r="U235" s="280"/>
      <c r="V235" s="280"/>
      <c r="W235" s="280"/>
      <c r="X235" s="280"/>
      <c r="Y235" s="280"/>
    </row>
    <row r="236" spans="1:25" s="43" customFormat="1" ht="21" customHeight="1">
      <c r="A236" s="120"/>
      <c r="B236" s="138"/>
      <c r="C236" s="142">
        <v>3110</v>
      </c>
      <c r="D236" s="68" t="s">
        <v>129</v>
      </c>
      <c r="E236" s="136">
        <v>141546</v>
      </c>
      <c r="F236" s="136"/>
      <c r="G236" s="136"/>
      <c r="H236" s="148">
        <f>SUM(E236+F236-G236)</f>
        <v>141546</v>
      </c>
      <c r="T236" s="280"/>
      <c r="U236" s="280"/>
      <c r="V236" s="280"/>
      <c r="W236" s="280"/>
      <c r="X236" s="280"/>
      <c r="Y236" s="280"/>
    </row>
    <row r="237" spans="1:25" s="43" customFormat="1" ht="21" customHeight="1">
      <c r="A237" s="120"/>
      <c r="B237" s="138"/>
      <c r="C237" s="142">
        <v>4430</v>
      </c>
      <c r="D237" s="68" t="s">
        <v>108</v>
      </c>
      <c r="E237" s="136">
        <v>5520</v>
      </c>
      <c r="F237" s="136"/>
      <c r="G237" s="136"/>
      <c r="H237" s="148"/>
      <c r="T237" s="280"/>
      <c r="U237" s="280"/>
      <c r="V237" s="280"/>
      <c r="W237" s="280"/>
      <c r="X237" s="280"/>
      <c r="Y237" s="280"/>
    </row>
    <row r="238" spans="1:25" s="9" customFormat="1" ht="24.75" customHeight="1">
      <c r="A238" s="63" t="s">
        <v>140</v>
      </c>
      <c r="B238" s="64"/>
      <c r="C238" s="65"/>
      <c r="D238" s="66" t="s">
        <v>71</v>
      </c>
      <c r="E238" s="67">
        <f>SUM(E239,E251,E257,E254)</f>
        <v>1022422</v>
      </c>
      <c r="F238" s="67" t="e">
        <f>SUM(F239,F251,#REF!,F257,F254)</f>
        <v>#REF!</v>
      </c>
      <c r="G238" s="67" t="e">
        <f>SUM(G239,G251,#REF!,G257,G254)</f>
        <v>#REF!</v>
      </c>
      <c r="H238" s="67" t="e">
        <f>SUM(H239,H251,#REF!,H257,H254)</f>
        <v>#REF!</v>
      </c>
      <c r="T238" s="280"/>
      <c r="U238" s="280"/>
      <c r="V238" s="280"/>
      <c r="W238" s="280"/>
      <c r="X238" s="280"/>
      <c r="Y238" s="280"/>
    </row>
    <row r="239" spans="1:25" s="43" customFormat="1" ht="21.75" customHeight="1">
      <c r="A239" s="120"/>
      <c r="B239" s="138">
        <v>85401</v>
      </c>
      <c r="C239" s="142"/>
      <c r="D239" s="68" t="s">
        <v>72</v>
      </c>
      <c r="E239" s="136">
        <f>SUM(E240:E250)</f>
        <v>611899</v>
      </c>
      <c r="F239" s="136">
        <f>SUM(F240:F250)</f>
        <v>0</v>
      </c>
      <c r="G239" s="136">
        <f>SUM(G240:G250)</f>
        <v>0</v>
      </c>
      <c r="H239" s="136">
        <f>SUM(H240:H250)</f>
        <v>611899</v>
      </c>
      <c r="T239" s="280"/>
      <c r="U239" s="280"/>
      <c r="V239" s="280"/>
      <c r="W239" s="280"/>
      <c r="X239" s="280"/>
      <c r="Y239" s="280"/>
    </row>
    <row r="240" spans="1:25" s="43" customFormat="1" ht="21" customHeight="1">
      <c r="A240" s="120"/>
      <c r="B240" s="138"/>
      <c r="C240" s="142">
        <v>3020</v>
      </c>
      <c r="D240" s="68" t="s">
        <v>354</v>
      </c>
      <c r="E240" s="136">
        <v>9916</v>
      </c>
      <c r="F240" s="141"/>
      <c r="G240" s="141"/>
      <c r="H240" s="148">
        <f aca="true" t="shared" si="14" ref="H240:H250">SUM(E240+F240-G240)</f>
        <v>9916</v>
      </c>
      <c r="T240" s="280"/>
      <c r="U240" s="280"/>
      <c r="V240" s="280"/>
      <c r="W240" s="280"/>
      <c r="X240" s="280"/>
      <c r="Y240" s="280"/>
    </row>
    <row r="241" spans="1:25" s="43" customFormat="1" ht="21" customHeight="1">
      <c r="A241" s="120"/>
      <c r="B241" s="138"/>
      <c r="C241" s="142">
        <v>4010</v>
      </c>
      <c r="D241" s="68" t="s">
        <v>98</v>
      </c>
      <c r="E241" s="136">
        <v>420588</v>
      </c>
      <c r="F241" s="141"/>
      <c r="G241" s="141"/>
      <c r="H241" s="148">
        <f t="shared" si="14"/>
        <v>420588</v>
      </c>
      <c r="T241" s="280">
        <f>E241</f>
        <v>420588</v>
      </c>
      <c r="U241" s="280"/>
      <c r="V241" s="280"/>
      <c r="W241" s="280"/>
      <c r="X241" s="280"/>
      <c r="Y241" s="280"/>
    </row>
    <row r="242" spans="1:25" s="43" customFormat="1" ht="21" customHeight="1">
      <c r="A242" s="120"/>
      <c r="B242" s="138"/>
      <c r="C242" s="142">
        <v>4040</v>
      </c>
      <c r="D242" s="68" t="s">
        <v>99</v>
      </c>
      <c r="E242" s="136">
        <v>32640</v>
      </c>
      <c r="F242" s="141"/>
      <c r="G242" s="141"/>
      <c r="H242" s="148">
        <f t="shared" si="14"/>
        <v>32640</v>
      </c>
      <c r="T242" s="280"/>
      <c r="U242" s="280">
        <f>E242</f>
        <v>32640</v>
      </c>
      <c r="V242" s="280"/>
      <c r="W242" s="280"/>
      <c r="X242" s="280"/>
      <c r="Y242" s="280"/>
    </row>
    <row r="243" spans="1:25" s="43" customFormat="1" ht="21" customHeight="1">
      <c r="A243" s="120"/>
      <c r="B243" s="138"/>
      <c r="C243" s="142">
        <v>4110</v>
      </c>
      <c r="D243" s="68" t="s">
        <v>100</v>
      </c>
      <c r="E243" s="136">
        <v>81375</v>
      </c>
      <c r="F243" s="141"/>
      <c r="G243" s="141"/>
      <c r="H243" s="148">
        <f t="shared" si="14"/>
        <v>81375</v>
      </c>
      <c r="T243" s="280"/>
      <c r="U243" s="280"/>
      <c r="V243" s="280">
        <f>E243</f>
        <v>81375</v>
      </c>
      <c r="W243" s="280"/>
      <c r="X243" s="280"/>
      <c r="Y243" s="280"/>
    </row>
    <row r="244" spans="1:25" s="43" customFormat="1" ht="21" customHeight="1">
      <c r="A244" s="120"/>
      <c r="B244" s="138"/>
      <c r="C244" s="142">
        <v>4120</v>
      </c>
      <c r="D244" s="68" t="s">
        <v>101</v>
      </c>
      <c r="E244" s="136">
        <v>11081</v>
      </c>
      <c r="F244" s="141"/>
      <c r="G244" s="141"/>
      <c r="H244" s="148">
        <f t="shared" si="14"/>
        <v>11081</v>
      </c>
      <c r="T244" s="280"/>
      <c r="U244" s="280"/>
      <c r="V244" s="280"/>
      <c r="W244" s="280">
        <f>E244</f>
        <v>11081</v>
      </c>
      <c r="X244" s="280"/>
      <c r="Y244" s="280"/>
    </row>
    <row r="245" spans="1:25" s="43" customFormat="1" ht="21" customHeight="1">
      <c r="A245" s="120"/>
      <c r="B245" s="138"/>
      <c r="C245" s="142">
        <v>4170</v>
      </c>
      <c r="D245" s="68" t="s">
        <v>312</v>
      </c>
      <c r="E245" s="136">
        <v>18000</v>
      </c>
      <c r="F245" s="141"/>
      <c r="G245" s="141"/>
      <c r="H245" s="148">
        <f t="shared" si="14"/>
        <v>18000</v>
      </c>
      <c r="T245" s="280"/>
      <c r="U245" s="280"/>
      <c r="V245" s="280"/>
      <c r="W245" s="280"/>
      <c r="X245" s="280">
        <f>E245</f>
        <v>18000</v>
      </c>
      <c r="Y245" s="280"/>
    </row>
    <row r="246" spans="1:25" s="43" customFormat="1" ht="21" customHeight="1">
      <c r="A246" s="120"/>
      <c r="B246" s="138"/>
      <c r="C246" s="142">
        <v>4210</v>
      </c>
      <c r="D246" s="68" t="s">
        <v>106</v>
      </c>
      <c r="E246" s="136">
        <v>7760</v>
      </c>
      <c r="F246" s="141"/>
      <c r="G246" s="141"/>
      <c r="H246" s="148">
        <f t="shared" si="14"/>
        <v>7760</v>
      </c>
      <c r="T246" s="280"/>
      <c r="U246" s="280"/>
      <c r="V246" s="280"/>
      <c r="W246" s="280"/>
      <c r="X246" s="280"/>
      <c r="Y246" s="280"/>
    </row>
    <row r="247" spans="1:25" s="43" customFormat="1" ht="21" customHeight="1">
      <c r="A247" s="120"/>
      <c r="B247" s="138"/>
      <c r="C247" s="142">
        <v>4230</v>
      </c>
      <c r="D247" s="68" t="s">
        <v>130</v>
      </c>
      <c r="E247" s="136">
        <v>50</v>
      </c>
      <c r="F247" s="141"/>
      <c r="G247" s="141"/>
      <c r="H247" s="148">
        <f t="shared" si="14"/>
        <v>50</v>
      </c>
      <c r="T247" s="280"/>
      <c r="U247" s="280"/>
      <c r="V247" s="280"/>
      <c r="W247" s="280"/>
      <c r="X247" s="280"/>
      <c r="Y247" s="280"/>
    </row>
    <row r="248" spans="1:25" s="43" customFormat="1" ht="21" customHeight="1">
      <c r="A248" s="120"/>
      <c r="B248" s="138"/>
      <c r="C248" s="142">
        <v>4240</v>
      </c>
      <c r="D248" s="68" t="s">
        <v>141</v>
      </c>
      <c r="E248" s="136">
        <v>1000</v>
      </c>
      <c r="F248" s="141"/>
      <c r="G248" s="141"/>
      <c r="H248" s="148">
        <f t="shared" si="14"/>
        <v>1000</v>
      </c>
      <c r="T248" s="280"/>
      <c r="U248" s="280"/>
      <c r="V248" s="280"/>
      <c r="W248" s="280"/>
      <c r="X248" s="280"/>
      <c r="Y248" s="280"/>
    </row>
    <row r="249" spans="1:25" s="43" customFormat="1" ht="21" customHeight="1">
      <c r="A249" s="120"/>
      <c r="B249" s="138"/>
      <c r="C249" s="142">
        <v>4300</v>
      </c>
      <c r="D249" s="68" t="s">
        <v>93</v>
      </c>
      <c r="E249" s="136">
        <v>850</v>
      </c>
      <c r="F249" s="141"/>
      <c r="G249" s="141"/>
      <c r="H249" s="148">
        <f t="shared" si="14"/>
        <v>850</v>
      </c>
      <c r="T249" s="280"/>
      <c r="U249" s="280"/>
      <c r="V249" s="280"/>
      <c r="W249" s="280"/>
      <c r="X249" s="280"/>
      <c r="Y249" s="280"/>
    </row>
    <row r="250" spans="1:25" s="43" customFormat="1" ht="21" customHeight="1">
      <c r="A250" s="120"/>
      <c r="B250" s="138"/>
      <c r="C250" s="142">
        <v>4440</v>
      </c>
      <c r="D250" s="68" t="s">
        <v>102</v>
      </c>
      <c r="E250" s="136">
        <v>28639</v>
      </c>
      <c r="F250" s="141"/>
      <c r="G250" s="141"/>
      <c r="H250" s="148">
        <f t="shared" si="14"/>
        <v>28639</v>
      </c>
      <c r="T250" s="280"/>
      <c r="U250" s="280"/>
      <c r="V250" s="280"/>
      <c r="W250" s="280"/>
      <c r="X250" s="280"/>
      <c r="Y250" s="280"/>
    </row>
    <row r="251" spans="1:25" s="43" customFormat="1" ht="39.75" customHeight="1">
      <c r="A251" s="120"/>
      <c r="B251" s="138" t="s">
        <v>144</v>
      </c>
      <c r="C251" s="142"/>
      <c r="D251" s="68" t="s">
        <v>234</v>
      </c>
      <c r="E251" s="136">
        <f>SUM(E252:E253)</f>
        <v>178550</v>
      </c>
      <c r="F251" s="136">
        <f>SUM(F252:F253)</f>
        <v>0</v>
      </c>
      <c r="G251" s="136">
        <f>SUM(G252:G253)</f>
        <v>0</v>
      </c>
      <c r="H251" s="136">
        <f>SUM(H252:H253)</f>
        <v>178550</v>
      </c>
      <c r="T251" s="280"/>
      <c r="U251" s="280"/>
      <c r="V251" s="280"/>
      <c r="W251" s="280"/>
      <c r="X251" s="280"/>
      <c r="Y251" s="280"/>
    </row>
    <row r="252" spans="1:25" s="43" customFormat="1" ht="21" customHeight="1">
      <c r="A252" s="120"/>
      <c r="B252" s="138"/>
      <c r="C252" s="142">
        <v>4210</v>
      </c>
      <c r="D252" s="68" t="s">
        <v>106</v>
      </c>
      <c r="E252" s="136">
        <f>5500+500</f>
        <v>6000</v>
      </c>
      <c r="F252" s="141"/>
      <c r="G252" s="141"/>
      <c r="H252" s="148">
        <f>SUM(E252+F252-G252)</f>
        <v>6000</v>
      </c>
      <c r="T252" s="280"/>
      <c r="U252" s="280"/>
      <c r="V252" s="280"/>
      <c r="W252" s="280"/>
      <c r="X252" s="280"/>
      <c r="Y252" s="280"/>
    </row>
    <row r="253" spans="1:25" s="43" customFormat="1" ht="21" customHeight="1">
      <c r="A253" s="142"/>
      <c r="B253" s="143"/>
      <c r="C253" s="142">
        <v>4300</v>
      </c>
      <c r="D253" s="68" t="s">
        <v>93</v>
      </c>
      <c r="E253" s="136">
        <f>99500+13050+45000+15000</f>
        <v>172550</v>
      </c>
      <c r="F253" s="141"/>
      <c r="G253" s="141"/>
      <c r="H253" s="148">
        <f>SUM(E253+F253-G253)</f>
        <v>172550</v>
      </c>
      <c r="T253" s="280"/>
      <c r="U253" s="280"/>
      <c r="V253" s="280"/>
      <c r="W253" s="280"/>
      <c r="X253" s="280"/>
      <c r="Y253" s="280"/>
    </row>
    <row r="254" spans="1:25" s="43" customFormat="1" ht="21.75" customHeight="1">
      <c r="A254" s="142"/>
      <c r="B254" s="143">
        <v>85446</v>
      </c>
      <c r="C254" s="142"/>
      <c r="D254" s="68" t="s">
        <v>196</v>
      </c>
      <c r="E254" s="136">
        <f>SUM(E255:E256)</f>
        <v>3323</v>
      </c>
      <c r="F254" s="136">
        <f>SUM(F255:F256)</f>
        <v>0</v>
      </c>
      <c r="G254" s="136">
        <f>SUM(G255:G256)</f>
        <v>0</v>
      </c>
      <c r="H254" s="136">
        <f>SUM(H255:H256)</f>
        <v>3323</v>
      </c>
      <c r="T254" s="280"/>
      <c r="U254" s="280"/>
      <c r="V254" s="280"/>
      <c r="W254" s="280"/>
      <c r="X254" s="280"/>
      <c r="Y254" s="280"/>
    </row>
    <row r="255" spans="1:25" s="43" customFormat="1" ht="21" customHeight="1">
      <c r="A255" s="142"/>
      <c r="B255" s="143"/>
      <c r="C255" s="142">
        <v>4300</v>
      </c>
      <c r="D255" s="68" t="s">
        <v>93</v>
      </c>
      <c r="E255" s="136">
        <v>3323</v>
      </c>
      <c r="F255" s="141"/>
      <c r="G255" s="141"/>
      <c r="H255" s="148">
        <f>SUM(E255+F255-G255)</f>
        <v>3323</v>
      </c>
      <c r="T255" s="280"/>
      <c r="U255" s="280"/>
      <c r="V255" s="280"/>
      <c r="W255" s="280"/>
      <c r="X255" s="280"/>
      <c r="Y255" s="280"/>
    </row>
    <row r="256" spans="1:25" s="43" customFormat="1" ht="21" customHeight="1">
      <c r="A256" s="142"/>
      <c r="B256" s="143"/>
      <c r="C256" s="142">
        <v>4410</v>
      </c>
      <c r="D256" s="68" t="s">
        <v>104</v>
      </c>
      <c r="E256" s="136"/>
      <c r="F256" s="141"/>
      <c r="G256" s="141"/>
      <c r="H256" s="148">
        <f>SUM(E256+F256-G256)</f>
        <v>0</v>
      </c>
      <c r="T256" s="280"/>
      <c r="U256" s="280"/>
      <c r="V256" s="280"/>
      <c r="W256" s="280"/>
      <c r="X256" s="280"/>
      <c r="Y256" s="280"/>
    </row>
    <row r="257" spans="1:25" s="43" customFormat="1" ht="21.75" customHeight="1">
      <c r="A257" s="142"/>
      <c r="B257" s="143">
        <v>85495</v>
      </c>
      <c r="C257" s="142"/>
      <c r="D257" s="68" t="s">
        <v>6</v>
      </c>
      <c r="E257" s="136">
        <f>SUM(E258:E258)</f>
        <v>228650</v>
      </c>
      <c r="F257" s="136">
        <f>SUM(F258:F258)</f>
        <v>0</v>
      </c>
      <c r="G257" s="136">
        <f>SUM(G258:G258)</f>
        <v>0</v>
      </c>
      <c r="H257" s="136">
        <f>SUM(H258:H258)</f>
        <v>228650</v>
      </c>
      <c r="T257" s="280"/>
      <c r="U257" s="280"/>
      <c r="V257" s="280"/>
      <c r="W257" s="280"/>
      <c r="X257" s="280"/>
      <c r="Y257" s="280"/>
    </row>
    <row r="258" spans="1:25" s="43" customFormat="1" ht="48" customHeight="1">
      <c r="A258" s="142"/>
      <c r="B258" s="143"/>
      <c r="C258" s="142">
        <v>2320</v>
      </c>
      <c r="D258" s="68" t="s">
        <v>199</v>
      </c>
      <c r="E258" s="136">
        <v>228650</v>
      </c>
      <c r="F258" s="141"/>
      <c r="G258" s="141"/>
      <c r="H258" s="148">
        <f>SUM(E258+F258-G258)</f>
        <v>228650</v>
      </c>
      <c r="T258" s="280"/>
      <c r="U258" s="280"/>
      <c r="V258" s="280"/>
      <c r="W258" s="280"/>
      <c r="X258" s="280"/>
      <c r="Y258" s="280"/>
    </row>
    <row r="259" spans="1:25" s="9" customFormat="1" ht="24.75" customHeight="1">
      <c r="A259" s="63" t="s">
        <v>146</v>
      </c>
      <c r="B259" s="64"/>
      <c r="C259" s="65"/>
      <c r="D259" s="66" t="s">
        <v>73</v>
      </c>
      <c r="E259" s="67">
        <f>SUM(E260,E265,E268,E272,E274,E276,E280,)</f>
        <v>10617678</v>
      </c>
      <c r="F259" s="67">
        <f>SUM(F260,F265,F268,F272,F274,F276,F280,)</f>
        <v>0</v>
      </c>
      <c r="G259" s="67">
        <f>SUM(G260,G265,G268,G272,G274,G276,G280,)</f>
        <v>0</v>
      </c>
      <c r="H259" s="67">
        <f>SUM(H260,H265,H268,H272,H274,H276,H280,)</f>
        <v>10617678</v>
      </c>
      <c r="T259" s="280"/>
      <c r="U259" s="280"/>
      <c r="V259" s="280"/>
      <c r="W259" s="280"/>
      <c r="X259" s="280"/>
      <c r="Y259" s="280"/>
    </row>
    <row r="260" spans="1:25" s="43" customFormat="1" ht="21.75" customHeight="1">
      <c r="A260" s="120"/>
      <c r="B260" s="138" t="s">
        <v>147</v>
      </c>
      <c r="C260" s="142"/>
      <c r="D260" s="68" t="s">
        <v>74</v>
      </c>
      <c r="E260" s="136">
        <f>SUM(E261:E264)</f>
        <v>8834636</v>
      </c>
      <c r="F260" s="136">
        <f>SUM(F261:F264)</f>
        <v>0</v>
      </c>
      <c r="G260" s="136">
        <f>SUM(G261:G264)</f>
        <v>0</v>
      </c>
      <c r="H260" s="136">
        <f>SUM(H261:H264)</f>
        <v>8834636</v>
      </c>
      <c r="T260" s="280"/>
      <c r="U260" s="280"/>
      <c r="V260" s="280"/>
      <c r="W260" s="280"/>
      <c r="X260" s="280"/>
      <c r="Y260" s="280"/>
    </row>
    <row r="261" spans="1:25" s="43" customFormat="1" ht="21" customHeight="1">
      <c r="A261" s="120"/>
      <c r="B261" s="138"/>
      <c r="C261" s="120">
        <v>4300</v>
      </c>
      <c r="D261" s="68" t="s">
        <v>93</v>
      </c>
      <c r="E261" s="136">
        <v>67000</v>
      </c>
      <c r="F261" s="141"/>
      <c r="G261" s="141"/>
      <c r="H261" s="148">
        <f aca="true" t="shared" si="15" ref="H261:H284">SUM(E261+F261-G261)</f>
        <v>67000</v>
      </c>
      <c r="T261" s="280"/>
      <c r="U261" s="280"/>
      <c r="V261" s="280"/>
      <c r="W261" s="280"/>
      <c r="X261" s="280"/>
      <c r="Y261" s="280"/>
    </row>
    <row r="262" spans="1:25" s="43" customFormat="1" ht="21" customHeight="1">
      <c r="A262" s="120"/>
      <c r="B262" s="138"/>
      <c r="C262" s="120">
        <v>6050</v>
      </c>
      <c r="D262" s="68" t="s">
        <v>87</v>
      </c>
      <c r="E262" s="136">
        <v>100000</v>
      </c>
      <c r="F262" s="141"/>
      <c r="G262" s="141"/>
      <c r="H262" s="148">
        <f t="shared" si="15"/>
        <v>100000</v>
      </c>
      <c r="T262" s="280"/>
      <c r="U262" s="280"/>
      <c r="V262" s="280"/>
      <c r="W262" s="280"/>
      <c r="X262" s="280"/>
      <c r="Y262" s="280">
        <f>E262</f>
        <v>100000</v>
      </c>
    </row>
    <row r="263" spans="1:25" s="43" customFormat="1" ht="21" customHeight="1">
      <c r="A263" s="120"/>
      <c r="B263" s="138"/>
      <c r="C263" s="120">
        <v>6058</v>
      </c>
      <c r="D263" s="68" t="s">
        <v>87</v>
      </c>
      <c r="E263" s="136">
        <v>5717636</v>
      </c>
      <c r="F263" s="141"/>
      <c r="G263" s="141"/>
      <c r="H263" s="148">
        <f t="shared" si="15"/>
        <v>5717636</v>
      </c>
      <c r="T263" s="280"/>
      <c r="U263" s="280"/>
      <c r="V263" s="280"/>
      <c r="W263" s="280"/>
      <c r="X263" s="280"/>
      <c r="Y263" s="280">
        <f>E263</f>
        <v>5717636</v>
      </c>
    </row>
    <row r="264" spans="1:25" s="43" customFormat="1" ht="21" customHeight="1">
      <c r="A264" s="120"/>
      <c r="B264" s="138"/>
      <c r="C264" s="120">
        <v>6059</v>
      </c>
      <c r="D264" s="68" t="s">
        <v>87</v>
      </c>
      <c r="E264" s="136">
        <v>2950000</v>
      </c>
      <c r="F264" s="141"/>
      <c r="G264" s="141"/>
      <c r="H264" s="148">
        <f t="shared" si="15"/>
        <v>2950000</v>
      </c>
      <c r="T264" s="280"/>
      <c r="U264" s="280"/>
      <c r="V264" s="280"/>
      <c r="W264" s="280"/>
      <c r="X264" s="280"/>
      <c r="Y264" s="280">
        <f>E264</f>
        <v>2950000</v>
      </c>
    </row>
    <row r="265" spans="1:25" s="43" customFormat="1" ht="21.75" customHeight="1">
      <c r="A265" s="120"/>
      <c r="B265" s="138" t="s">
        <v>148</v>
      </c>
      <c r="C265" s="142"/>
      <c r="D265" s="68" t="s">
        <v>149</v>
      </c>
      <c r="E265" s="136">
        <f>SUM(E266:E267)</f>
        <v>627080</v>
      </c>
      <c r="F265" s="136">
        <f>SUM(F266:F267)</f>
        <v>0</v>
      </c>
      <c r="G265" s="136">
        <f>SUM(G266:G267)</f>
        <v>0</v>
      </c>
      <c r="H265" s="136">
        <f>SUM(H266:H267)</f>
        <v>627080</v>
      </c>
      <c r="T265" s="280"/>
      <c r="U265" s="280"/>
      <c r="V265" s="280"/>
      <c r="W265" s="280"/>
      <c r="X265" s="280"/>
      <c r="Y265" s="280"/>
    </row>
    <row r="266" spans="1:25" s="43" customFormat="1" ht="21" customHeight="1">
      <c r="A266" s="120"/>
      <c r="B266" s="138"/>
      <c r="C266" s="142">
        <v>4210</v>
      </c>
      <c r="D266" s="68" t="s">
        <v>106</v>
      </c>
      <c r="E266" s="136">
        <v>619080</v>
      </c>
      <c r="F266" s="141"/>
      <c r="G266" s="141"/>
      <c r="H266" s="148">
        <f t="shared" si="15"/>
        <v>619080</v>
      </c>
      <c r="T266" s="280"/>
      <c r="U266" s="280"/>
      <c r="V266" s="280"/>
      <c r="W266" s="280"/>
      <c r="X266" s="280"/>
      <c r="Y266" s="280"/>
    </row>
    <row r="267" spans="1:25" s="43" customFormat="1" ht="21" customHeight="1">
      <c r="A267" s="120"/>
      <c r="B267" s="138"/>
      <c r="C267" s="142">
        <v>4300</v>
      </c>
      <c r="D267" s="146" t="s">
        <v>93</v>
      </c>
      <c r="E267" s="136">
        <v>8000</v>
      </c>
      <c r="F267" s="141"/>
      <c r="G267" s="141"/>
      <c r="H267" s="148">
        <f t="shared" si="15"/>
        <v>8000</v>
      </c>
      <c r="T267" s="280"/>
      <c r="U267" s="280"/>
      <c r="V267" s="280"/>
      <c r="W267" s="280"/>
      <c r="X267" s="280"/>
      <c r="Y267" s="280"/>
    </row>
    <row r="268" spans="1:25" s="43" customFormat="1" ht="21.75" customHeight="1">
      <c r="A268" s="120"/>
      <c r="B268" s="138" t="s">
        <v>150</v>
      </c>
      <c r="C268" s="142"/>
      <c r="D268" s="68" t="s">
        <v>201</v>
      </c>
      <c r="E268" s="136">
        <f>SUM(E269:E271)</f>
        <v>175492</v>
      </c>
      <c r="F268" s="136">
        <f>SUM(F269:F271)</f>
        <v>0</v>
      </c>
      <c r="G268" s="136">
        <f>SUM(G269:G271)</f>
        <v>0</v>
      </c>
      <c r="H268" s="136">
        <f>SUM(H269:H271)</f>
        <v>175492</v>
      </c>
      <c r="T268" s="280"/>
      <c r="U268" s="280"/>
      <c r="V268" s="280"/>
      <c r="W268" s="280"/>
      <c r="X268" s="280"/>
      <c r="Y268" s="280"/>
    </row>
    <row r="269" spans="1:25" s="43" customFormat="1" ht="21" customHeight="1">
      <c r="A269" s="120"/>
      <c r="B269" s="138"/>
      <c r="C269" s="120">
        <v>4210</v>
      </c>
      <c r="D269" s="68" t="s">
        <v>106</v>
      </c>
      <c r="E269" s="136">
        <f>25850+26000</f>
        <v>51850</v>
      </c>
      <c r="F269" s="141"/>
      <c r="G269" s="141"/>
      <c r="H269" s="148">
        <f t="shared" si="15"/>
        <v>51850</v>
      </c>
      <c r="T269" s="280"/>
      <c r="U269" s="280"/>
      <c r="V269" s="280"/>
      <c r="W269" s="280"/>
      <c r="X269" s="280"/>
      <c r="Y269" s="280"/>
    </row>
    <row r="270" spans="1:25" s="43" customFormat="1" ht="21" customHeight="1">
      <c r="A270" s="120"/>
      <c r="B270" s="138"/>
      <c r="C270" s="120">
        <v>4270</v>
      </c>
      <c r="D270" s="68" t="s">
        <v>92</v>
      </c>
      <c r="E270" s="136">
        <v>4000</v>
      </c>
      <c r="F270" s="141"/>
      <c r="G270" s="141"/>
      <c r="H270" s="148">
        <f t="shared" si="15"/>
        <v>4000</v>
      </c>
      <c r="T270" s="280"/>
      <c r="U270" s="280"/>
      <c r="V270" s="280"/>
      <c r="W270" s="280"/>
      <c r="X270" s="280"/>
      <c r="Y270" s="280"/>
    </row>
    <row r="271" spans="1:25" s="43" customFormat="1" ht="21" customHeight="1">
      <c r="A271" s="120"/>
      <c r="B271" s="138"/>
      <c r="C271" s="120">
        <v>4300</v>
      </c>
      <c r="D271" s="68" t="s">
        <v>93</v>
      </c>
      <c r="E271" s="136">
        <f>82942+20000+4700+12000</f>
        <v>119642</v>
      </c>
      <c r="F271" s="141"/>
      <c r="G271" s="141"/>
      <c r="H271" s="148">
        <f t="shared" si="15"/>
        <v>119642</v>
      </c>
      <c r="T271" s="280"/>
      <c r="U271" s="280"/>
      <c r="V271" s="280"/>
      <c r="W271" s="280"/>
      <c r="X271" s="280"/>
      <c r="Y271" s="280"/>
    </row>
    <row r="272" spans="1:25" s="43" customFormat="1" ht="21.75" customHeight="1">
      <c r="A272" s="120"/>
      <c r="B272" s="138" t="s">
        <v>151</v>
      </c>
      <c r="C272" s="142"/>
      <c r="D272" s="68" t="s">
        <v>152</v>
      </c>
      <c r="E272" s="136">
        <f>SUM(E273:E273)</f>
        <v>16000</v>
      </c>
      <c r="F272" s="136">
        <f>SUM(F273:F273)</f>
        <v>0</v>
      </c>
      <c r="G272" s="136">
        <f>SUM(G273:G273)</f>
        <v>0</v>
      </c>
      <c r="H272" s="136">
        <f>SUM(H273:H273)</f>
        <v>16000</v>
      </c>
      <c r="T272" s="280"/>
      <c r="U272" s="280"/>
      <c r="V272" s="280"/>
      <c r="W272" s="280"/>
      <c r="X272" s="280"/>
      <c r="Y272" s="280"/>
    </row>
    <row r="273" spans="1:25" s="43" customFormat="1" ht="24">
      <c r="A273" s="120"/>
      <c r="B273" s="138"/>
      <c r="C273" s="142">
        <v>4520</v>
      </c>
      <c r="D273" s="68" t="s">
        <v>153</v>
      </c>
      <c r="E273" s="136">
        <v>16000</v>
      </c>
      <c r="F273" s="141"/>
      <c r="G273" s="141"/>
      <c r="H273" s="148">
        <f t="shared" si="15"/>
        <v>16000</v>
      </c>
      <c r="T273" s="280"/>
      <c r="U273" s="280"/>
      <c r="V273" s="280"/>
      <c r="W273" s="280"/>
      <c r="X273" s="280"/>
      <c r="Y273" s="280"/>
    </row>
    <row r="274" spans="1:25" s="43" customFormat="1" ht="21" customHeight="1">
      <c r="A274" s="120"/>
      <c r="B274" s="138" t="s">
        <v>154</v>
      </c>
      <c r="C274" s="142"/>
      <c r="D274" s="68" t="s">
        <v>155</v>
      </c>
      <c r="E274" s="136">
        <f>SUM(E275)</f>
        <v>78000</v>
      </c>
      <c r="F274" s="136">
        <f>SUM(F275)</f>
        <v>0</v>
      </c>
      <c r="G274" s="136">
        <f>SUM(G275)</f>
        <v>0</v>
      </c>
      <c r="H274" s="136">
        <f>SUM(H275)</f>
        <v>78000</v>
      </c>
      <c r="T274" s="280"/>
      <c r="U274" s="280"/>
      <c r="V274" s="280"/>
      <c r="W274" s="280"/>
      <c r="X274" s="280"/>
      <c r="Y274" s="280"/>
    </row>
    <row r="275" spans="1:25" s="43" customFormat="1" ht="21" customHeight="1">
      <c r="A275" s="120"/>
      <c r="B275" s="138"/>
      <c r="C275" s="142">
        <v>4300</v>
      </c>
      <c r="D275" s="146" t="s">
        <v>93</v>
      </c>
      <c r="E275" s="136">
        <v>78000</v>
      </c>
      <c r="F275" s="141"/>
      <c r="G275" s="141"/>
      <c r="H275" s="148">
        <f t="shared" si="15"/>
        <v>78000</v>
      </c>
      <c r="T275" s="280"/>
      <c r="U275" s="280"/>
      <c r="V275" s="280"/>
      <c r="W275" s="280"/>
      <c r="X275" s="280"/>
      <c r="Y275" s="280"/>
    </row>
    <row r="276" spans="1:25" s="43" customFormat="1" ht="21" customHeight="1">
      <c r="A276" s="120"/>
      <c r="B276" s="138" t="s">
        <v>156</v>
      </c>
      <c r="C276" s="142"/>
      <c r="D276" s="68" t="s">
        <v>157</v>
      </c>
      <c r="E276" s="136">
        <f>SUM(E277:E279)</f>
        <v>807000</v>
      </c>
      <c r="F276" s="136">
        <f>SUM(F277:F279)</f>
        <v>0</v>
      </c>
      <c r="G276" s="136">
        <f>SUM(G277:G279)</f>
        <v>0</v>
      </c>
      <c r="H276" s="136">
        <f>SUM(H277:H279)</f>
        <v>807000</v>
      </c>
      <c r="T276" s="280"/>
      <c r="U276" s="280"/>
      <c r="V276" s="280"/>
      <c r="W276" s="280"/>
      <c r="X276" s="280"/>
      <c r="Y276" s="280"/>
    </row>
    <row r="277" spans="1:25" s="43" customFormat="1" ht="21" customHeight="1">
      <c r="A277" s="120"/>
      <c r="B277" s="143"/>
      <c r="C277" s="120">
        <v>4260</v>
      </c>
      <c r="D277" s="68" t="s">
        <v>109</v>
      </c>
      <c r="E277" s="136">
        <v>412000</v>
      </c>
      <c r="F277" s="141"/>
      <c r="G277" s="141"/>
      <c r="H277" s="148">
        <f t="shared" si="15"/>
        <v>412000</v>
      </c>
      <c r="T277" s="280"/>
      <c r="U277" s="280"/>
      <c r="V277" s="280"/>
      <c r="W277" s="280"/>
      <c r="X277" s="280"/>
      <c r="Y277" s="280"/>
    </row>
    <row r="278" spans="1:25" s="43" customFormat="1" ht="21" customHeight="1">
      <c r="A278" s="120"/>
      <c r="B278" s="143"/>
      <c r="C278" s="120">
        <v>4270</v>
      </c>
      <c r="D278" s="68" t="s">
        <v>92</v>
      </c>
      <c r="E278" s="136">
        <v>125000</v>
      </c>
      <c r="F278" s="141"/>
      <c r="G278" s="141"/>
      <c r="H278" s="148">
        <f t="shared" si="15"/>
        <v>125000</v>
      </c>
      <c r="T278" s="280"/>
      <c r="U278" s="280"/>
      <c r="V278" s="280"/>
      <c r="W278" s="280"/>
      <c r="X278" s="280"/>
      <c r="Y278" s="280"/>
    </row>
    <row r="279" spans="1:25" s="43" customFormat="1" ht="21" customHeight="1">
      <c r="A279" s="120"/>
      <c r="B279" s="143"/>
      <c r="C279" s="120">
        <v>6050</v>
      </c>
      <c r="D279" s="68" t="s">
        <v>87</v>
      </c>
      <c r="E279" s="136">
        <f>110000+80000+80000</f>
        <v>270000</v>
      </c>
      <c r="F279" s="199"/>
      <c r="G279" s="199"/>
      <c r="H279" s="148">
        <f t="shared" si="15"/>
        <v>270000</v>
      </c>
      <c r="T279" s="280"/>
      <c r="U279" s="280"/>
      <c r="V279" s="280"/>
      <c r="W279" s="280"/>
      <c r="X279" s="280"/>
      <c r="Y279" s="280">
        <f>E279</f>
        <v>270000</v>
      </c>
    </row>
    <row r="280" spans="1:25" s="43" customFormat="1" ht="21" customHeight="1">
      <c r="A280" s="120"/>
      <c r="B280" s="138" t="s">
        <v>158</v>
      </c>
      <c r="C280" s="142"/>
      <c r="D280" s="68" t="s">
        <v>6</v>
      </c>
      <c r="E280" s="136">
        <f>SUM(E281:E284)</f>
        <v>79470</v>
      </c>
      <c r="F280" s="136">
        <f>SUM(F281:F284)</f>
        <v>0</v>
      </c>
      <c r="G280" s="136">
        <f>SUM(G281:G284)</f>
        <v>0</v>
      </c>
      <c r="H280" s="136">
        <f>SUM(H281:H284)</f>
        <v>79470</v>
      </c>
      <c r="T280" s="280"/>
      <c r="U280" s="280"/>
      <c r="V280" s="280"/>
      <c r="W280" s="280"/>
      <c r="X280" s="280"/>
      <c r="Y280" s="280"/>
    </row>
    <row r="281" spans="1:25" s="43" customFormat="1" ht="21" customHeight="1">
      <c r="A281" s="120"/>
      <c r="B281" s="143"/>
      <c r="C281" s="142">
        <v>4210</v>
      </c>
      <c r="D281" s="68" t="s">
        <v>106</v>
      </c>
      <c r="E281" s="136">
        <v>6970</v>
      </c>
      <c r="F281" s="141"/>
      <c r="G281" s="141"/>
      <c r="H281" s="148">
        <f t="shared" si="15"/>
        <v>6970</v>
      </c>
      <c r="T281" s="280"/>
      <c r="U281" s="280"/>
      <c r="V281" s="280"/>
      <c r="W281" s="280"/>
      <c r="X281" s="280"/>
      <c r="Y281" s="280"/>
    </row>
    <row r="282" spans="1:25" s="43" customFormat="1" ht="21" customHeight="1">
      <c r="A282" s="120"/>
      <c r="B282" s="143"/>
      <c r="C282" s="120">
        <v>4260</v>
      </c>
      <c r="D282" s="68" t="s">
        <v>109</v>
      </c>
      <c r="E282" s="136">
        <v>3500</v>
      </c>
      <c r="F282" s="141"/>
      <c r="G282" s="141"/>
      <c r="H282" s="148">
        <f t="shared" si="15"/>
        <v>3500</v>
      </c>
      <c r="T282" s="280"/>
      <c r="U282" s="280"/>
      <c r="V282" s="280"/>
      <c r="W282" s="280"/>
      <c r="X282" s="280"/>
      <c r="Y282" s="280"/>
    </row>
    <row r="283" spans="1:25" s="43" customFormat="1" ht="21" customHeight="1">
      <c r="A283" s="120"/>
      <c r="B283" s="143"/>
      <c r="C283" s="120">
        <v>4270</v>
      </c>
      <c r="D283" s="68" t="s">
        <v>92</v>
      </c>
      <c r="E283" s="136">
        <v>5000</v>
      </c>
      <c r="F283" s="141"/>
      <c r="G283" s="141"/>
      <c r="H283" s="148">
        <f t="shared" si="15"/>
        <v>5000</v>
      </c>
      <c r="T283" s="280"/>
      <c r="U283" s="280"/>
      <c r="V283" s="280"/>
      <c r="W283" s="280"/>
      <c r="X283" s="280"/>
      <c r="Y283" s="280"/>
    </row>
    <row r="284" spans="1:25" s="43" customFormat="1" ht="21" customHeight="1">
      <c r="A284" s="120"/>
      <c r="B284" s="143"/>
      <c r="C284" s="142">
        <v>4300</v>
      </c>
      <c r="D284" s="146" t="s">
        <v>93</v>
      </c>
      <c r="E284" s="136">
        <f>62000+1000+1000</f>
        <v>64000</v>
      </c>
      <c r="F284" s="141"/>
      <c r="G284" s="141"/>
      <c r="H284" s="148">
        <f t="shared" si="15"/>
        <v>64000</v>
      </c>
      <c r="T284" s="280"/>
      <c r="U284" s="280"/>
      <c r="V284" s="280"/>
      <c r="W284" s="280"/>
      <c r="X284" s="280"/>
      <c r="Y284" s="280"/>
    </row>
    <row r="285" spans="1:25" s="8" customFormat="1" ht="24.75" customHeight="1">
      <c r="A285" s="63" t="s">
        <v>76</v>
      </c>
      <c r="B285" s="64"/>
      <c r="C285" s="65"/>
      <c r="D285" s="66" t="s">
        <v>159</v>
      </c>
      <c r="E285" s="67">
        <f>SUM(E286,E292,E294,)</f>
        <v>1637180</v>
      </c>
      <c r="F285" s="67">
        <f>SUM(F286,F292,F294,)</f>
        <v>0</v>
      </c>
      <c r="G285" s="67">
        <f>SUM(G286,G292,G294,)</f>
        <v>0</v>
      </c>
      <c r="H285" s="67">
        <f>SUM(H286,H292,H294,)</f>
        <v>1637180</v>
      </c>
      <c r="T285" s="280"/>
      <c r="U285" s="280"/>
      <c r="V285" s="280"/>
      <c r="W285" s="280"/>
      <c r="X285" s="280"/>
      <c r="Y285" s="280"/>
    </row>
    <row r="286" spans="1:25" s="43" customFormat="1" ht="21.75" customHeight="1">
      <c r="A286" s="120"/>
      <c r="B286" s="138" t="s">
        <v>160</v>
      </c>
      <c r="C286" s="142"/>
      <c r="D286" s="68" t="s">
        <v>200</v>
      </c>
      <c r="E286" s="136">
        <f>SUM(E287:E291)</f>
        <v>430780</v>
      </c>
      <c r="F286" s="136">
        <f>SUM(F287:F291)</f>
        <v>0</v>
      </c>
      <c r="G286" s="136">
        <f>SUM(G287:G291)</f>
        <v>0</v>
      </c>
      <c r="H286" s="136">
        <f>SUM(H287:H291)</f>
        <v>430780</v>
      </c>
      <c r="T286" s="280"/>
      <c r="U286" s="280"/>
      <c r="V286" s="280"/>
      <c r="W286" s="280"/>
      <c r="X286" s="280"/>
      <c r="Y286" s="280"/>
    </row>
    <row r="287" spans="1:25" s="43" customFormat="1" ht="21.75" customHeight="1">
      <c r="A287" s="120"/>
      <c r="B287" s="138"/>
      <c r="C287" s="142">
        <v>2480</v>
      </c>
      <c r="D287" s="68" t="s">
        <v>290</v>
      </c>
      <c r="E287" s="136">
        <v>387940</v>
      </c>
      <c r="F287" s="141"/>
      <c r="G287" s="141"/>
      <c r="H287" s="148">
        <f>SUM(E287+F287-G287)</f>
        <v>387940</v>
      </c>
      <c r="T287" s="280"/>
      <c r="U287" s="280"/>
      <c r="V287" s="280"/>
      <c r="W287" s="280"/>
      <c r="X287" s="280"/>
      <c r="Y287" s="280"/>
    </row>
    <row r="288" spans="1:25" s="43" customFormat="1" ht="21" customHeight="1">
      <c r="A288" s="120"/>
      <c r="B288" s="138"/>
      <c r="C288" s="120">
        <v>4210</v>
      </c>
      <c r="D288" s="68" t="s">
        <v>106</v>
      </c>
      <c r="E288" s="136">
        <v>19400</v>
      </c>
      <c r="F288" s="141"/>
      <c r="G288" s="141"/>
      <c r="H288" s="148">
        <f>SUM(E288+F288-G288)</f>
        <v>19400</v>
      </c>
      <c r="T288" s="280"/>
      <c r="U288" s="280"/>
      <c r="V288" s="280"/>
      <c r="W288" s="280"/>
      <c r="X288" s="280"/>
      <c r="Y288" s="280"/>
    </row>
    <row r="289" spans="1:25" s="43" customFormat="1" ht="21" customHeight="1">
      <c r="A289" s="120"/>
      <c r="B289" s="138"/>
      <c r="C289" s="120">
        <v>4260</v>
      </c>
      <c r="D289" s="68" t="s">
        <v>109</v>
      </c>
      <c r="E289" s="136">
        <v>11630</v>
      </c>
      <c r="F289" s="141"/>
      <c r="G289" s="141"/>
      <c r="H289" s="148">
        <f>SUM(E289+F289-G289)</f>
        <v>11630</v>
      </c>
      <c r="T289" s="280"/>
      <c r="U289" s="280"/>
      <c r="V289" s="280"/>
      <c r="W289" s="280"/>
      <c r="X289" s="280"/>
      <c r="Y289" s="280"/>
    </row>
    <row r="290" spans="1:25" s="43" customFormat="1" ht="21" customHeight="1">
      <c r="A290" s="120"/>
      <c r="B290" s="138"/>
      <c r="C290" s="142">
        <v>4300</v>
      </c>
      <c r="D290" s="146" t="s">
        <v>93</v>
      </c>
      <c r="E290" s="136">
        <v>10825</v>
      </c>
      <c r="F290" s="141"/>
      <c r="G290" s="141"/>
      <c r="H290" s="148">
        <f>SUM(E290+F290-G290)</f>
        <v>10825</v>
      </c>
      <c r="T290" s="280"/>
      <c r="U290" s="280"/>
      <c r="V290" s="280"/>
      <c r="W290" s="280"/>
      <c r="X290" s="280"/>
      <c r="Y290" s="280"/>
    </row>
    <row r="291" spans="1:25" s="43" customFormat="1" ht="21" customHeight="1">
      <c r="A291" s="120"/>
      <c r="B291" s="138"/>
      <c r="C291" s="142">
        <v>4430</v>
      </c>
      <c r="D291" s="146" t="s">
        <v>108</v>
      </c>
      <c r="E291" s="136">
        <v>985</v>
      </c>
      <c r="F291" s="141"/>
      <c r="G291" s="141"/>
      <c r="H291" s="148">
        <f>SUM(E291+F291-G291)</f>
        <v>985</v>
      </c>
      <c r="T291" s="280"/>
      <c r="U291" s="280"/>
      <c r="V291" s="280"/>
      <c r="W291" s="280"/>
      <c r="X291" s="280"/>
      <c r="Y291" s="280"/>
    </row>
    <row r="292" spans="1:25" s="43" customFormat="1" ht="21.75" customHeight="1">
      <c r="A292" s="120"/>
      <c r="B292" s="138" t="s">
        <v>77</v>
      </c>
      <c r="C292" s="142"/>
      <c r="D292" s="68" t="s">
        <v>78</v>
      </c>
      <c r="E292" s="136">
        <f>E293</f>
        <v>855480</v>
      </c>
      <c r="F292" s="136">
        <f>SUM(F293)</f>
        <v>0</v>
      </c>
      <c r="G292" s="136">
        <f>SUM(G293)</f>
        <v>0</v>
      </c>
      <c r="H292" s="136">
        <f>SUM(H293)</f>
        <v>855480</v>
      </c>
      <c r="T292" s="280"/>
      <c r="U292" s="280"/>
      <c r="V292" s="280"/>
      <c r="W292" s="280"/>
      <c r="X292" s="280"/>
      <c r="Y292" s="280"/>
    </row>
    <row r="293" spans="1:25" s="43" customFormat="1" ht="24">
      <c r="A293" s="120"/>
      <c r="B293" s="138"/>
      <c r="C293" s="142">
        <v>2480</v>
      </c>
      <c r="D293" s="68" t="s">
        <v>290</v>
      </c>
      <c r="E293" s="136">
        <v>855480</v>
      </c>
      <c r="F293" s="141"/>
      <c r="G293" s="141"/>
      <c r="H293" s="148">
        <f>SUM(E293+F293-G293)</f>
        <v>855480</v>
      </c>
      <c r="T293" s="280"/>
      <c r="U293" s="280"/>
      <c r="V293" s="280"/>
      <c r="W293" s="280"/>
      <c r="X293" s="280"/>
      <c r="Y293" s="280"/>
    </row>
    <row r="294" spans="1:25" s="43" customFormat="1" ht="18.75" customHeight="1">
      <c r="A294" s="120"/>
      <c r="B294" s="138" t="s">
        <v>162</v>
      </c>
      <c r="C294" s="142"/>
      <c r="D294" s="68" t="s">
        <v>163</v>
      </c>
      <c r="E294" s="136">
        <f>E295</f>
        <v>350920</v>
      </c>
      <c r="F294" s="136">
        <f>SUM(F295)</f>
        <v>0</v>
      </c>
      <c r="G294" s="136">
        <f>SUM(G295)</f>
        <v>0</v>
      </c>
      <c r="H294" s="136">
        <f>SUM(H295)</f>
        <v>350920</v>
      </c>
      <c r="T294" s="280"/>
      <c r="U294" s="280"/>
      <c r="V294" s="280"/>
      <c r="W294" s="280"/>
      <c r="X294" s="280"/>
      <c r="Y294" s="280"/>
    </row>
    <row r="295" spans="1:25" s="43" customFormat="1" ht="25.5" customHeight="1">
      <c r="A295" s="120"/>
      <c r="B295" s="138"/>
      <c r="C295" s="142">
        <v>2480</v>
      </c>
      <c r="D295" s="68" t="s">
        <v>290</v>
      </c>
      <c r="E295" s="136">
        <v>350920</v>
      </c>
      <c r="F295" s="141"/>
      <c r="G295" s="141"/>
      <c r="H295" s="148">
        <f>SUM(E295+F295-G295)</f>
        <v>350920</v>
      </c>
      <c r="T295" s="280"/>
      <c r="U295" s="280"/>
      <c r="V295" s="280"/>
      <c r="W295" s="280"/>
      <c r="X295" s="280"/>
      <c r="Y295" s="280"/>
    </row>
    <row r="296" spans="1:25" s="8" customFormat="1" ht="24.75" customHeight="1">
      <c r="A296" s="63" t="s">
        <v>164</v>
      </c>
      <c r="B296" s="64"/>
      <c r="C296" s="65"/>
      <c r="D296" s="66" t="s">
        <v>79</v>
      </c>
      <c r="E296" s="67">
        <f>SUM(E299,E297)</f>
        <v>397640</v>
      </c>
      <c r="F296" s="67">
        <f>SUM(F299,F297)</f>
        <v>0</v>
      </c>
      <c r="G296" s="67">
        <f>SUM(G299,G297)</f>
        <v>0</v>
      </c>
      <c r="H296" s="67">
        <f>SUM(H299,H297)</f>
        <v>397640</v>
      </c>
      <c r="T296" s="280"/>
      <c r="U296" s="280"/>
      <c r="V296" s="280"/>
      <c r="W296" s="280"/>
      <c r="X296" s="280"/>
      <c r="Y296" s="280"/>
    </row>
    <row r="297" spans="1:25" s="43" customFormat="1" ht="21.75" customHeight="1">
      <c r="A297" s="120"/>
      <c r="B297" s="143">
        <v>92604</v>
      </c>
      <c r="C297" s="142"/>
      <c r="D297" s="68" t="s">
        <v>311</v>
      </c>
      <c r="E297" s="136">
        <f>SUM(E298)</f>
        <v>156250</v>
      </c>
      <c r="F297" s="136">
        <f>SUM(F298)</f>
        <v>0</v>
      </c>
      <c r="G297" s="136">
        <f>SUM(G298)</f>
        <v>0</v>
      </c>
      <c r="H297" s="136">
        <f>SUM(H298)</f>
        <v>156250</v>
      </c>
      <c r="T297" s="280"/>
      <c r="U297" s="280"/>
      <c r="V297" s="280"/>
      <c r="W297" s="280"/>
      <c r="X297" s="280"/>
      <c r="Y297" s="280"/>
    </row>
    <row r="298" spans="1:25" s="43" customFormat="1" ht="21" customHeight="1">
      <c r="A298" s="120"/>
      <c r="B298" s="143"/>
      <c r="C298" s="142">
        <v>4300</v>
      </c>
      <c r="D298" s="146" t="s">
        <v>93</v>
      </c>
      <c r="E298" s="136">
        <f>41250+100000+15000</f>
        <v>156250</v>
      </c>
      <c r="F298" s="136"/>
      <c r="G298" s="136"/>
      <c r="H298" s="148">
        <f>SUM(E298+F298-G298)</f>
        <v>156250</v>
      </c>
      <c r="T298" s="280"/>
      <c r="U298" s="280"/>
      <c r="V298" s="280"/>
      <c r="W298" s="280"/>
      <c r="X298" s="280"/>
      <c r="Y298" s="280"/>
    </row>
    <row r="299" spans="1:25" s="43" customFormat="1" ht="21.75" customHeight="1">
      <c r="A299" s="142"/>
      <c r="B299" s="145">
        <v>92605</v>
      </c>
      <c r="C299" s="142"/>
      <c r="D299" s="68" t="s">
        <v>80</v>
      </c>
      <c r="E299" s="136">
        <f>SUM(E300:E303)</f>
        <v>241390</v>
      </c>
      <c r="F299" s="136">
        <f>SUM(F300:F303)</f>
        <v>0</v>
      </c>
      <c r="G299" s="136">
        <f>SUM(G300:G303)</f>
        <v>0</v>
      </c>
      <c r="H299" s="136">
        <f>SUM(H300:H303)</f>
        <v>241390</v>
      </c>
      <c r="T299" s="280"/>
      <c r="U299" s="280"/>
      <c r="V299" s="280"/>
      <c r="W299" s="280"/>
      <c r="X299" s="280"/>
      <c r="Y299" s="280"/>
    </row>
    <row r="300" spans="1:25" s="43" customFormat="1" ht="21" customHeight="1">
      <c r="A300" s="142"/>
      <c r="B300" s="145"/>
      <c r="C300" s="142">
        <v>4170</v>
      </c>
      <c r="D300" s="68" t="s">
        <v>305</v>
      </c>
      <c r="E300" s="136">
        <v>20000</v>
      </c>
      <c r="F300" s="141"/>
      <c r="G300" s="141"/>
      <c r="H300" s="148">
        <f>SUM(E300+F300-G300)</f>
        <v>20000</v>
      </c>
      <c r="T300" s="280"/>
      <c r="U300" s="280"/>
      <c r="V300" s="280"/>
      <c r="W300" s="280"/>
      <c r="X300" s="280">
        <f>E300</f>
        <v>20000</v>
      </c>
      <c r="Y300" s="280"/>
    </row>
    <row r="301" spans="1:25" s="43" customFormat="1" ht="21" customHeight="1">
      <c r="A301" s="142"/>
      <c r="B301" s="138"/>
      <c r="C301" s="120">
        <v>4210</v>
      </c>
      <c r="D301" s="68" t="s">
        <v>106</v>
      </c>
      <c r="E301" s="136">
        <v>17890</v>
      </c>
      <c r="F301" s="141"/>
      <c r="G301" s="141"/>
      <c r="H301" s="148">
        <f>SUM(E301+F301-G301)</f>
        <v>17890</v>
      </c>
      <c r="T301" s="280"/>
      <c r="U301" s="280"/>
      <c r="V301" s="280"/>
      <c r="W301" s="280"/>
      <c r="X301" s="280"/>
      <c r="Y301" s="280"/>
    </row>
    <row r="302" spans="1:25" s="43" customFormat="1" ht="21" customHeight="1">
      <c r="A302" s="142"/>
      <c r="B302" s="138"/>
      <c r="C302" s="120">
        <v>4260</v>
      </c>
      <c r="D302" s="68" t="s">
        <v>109</v>
      </c>
      <c r="E302" s="136">
        <v>500</v>
      </c>
      <c r="F302" s="141"/>
      <c r="G302" s="141"/>
      <c r="H302" s="148">
        <f>SUM(E302+F302-G302)</f>
        <v>500</v>
      </c>
      <c r="T302" s="280"/>
      <c r="U302" s="280"/>
      <c r="V302" s="280"/>
      <c r="W302" s="280"/>
      <c r="X302" s="280"/>
      <c r="Y302" s="280"/>
    </row>
    <row r="303" spans="1:25" s="43" customFormat="1" ht="21" customHeight="1">
      <c r="A303" s="142"/>
      <c r="B303" s="138"/>
      <c r="C303" s="142">
        <v>4300</v>
      </c>
      <c r="D303" s="146" t="s">
        <v>93</v>
      </c>
      <c r="E303" s="136">
        <f>200000+3000</f>
        <v>203000</v>
      </c>
      <c r="F303" s="141"/>
      <c r="G303" s="141"/>
      <c r="H303" s="148">
        <f>SUM(E303+F303-G303)</f>
        <v>203000</v>
      </c>
      <c r="T303" s="280"/>
      <c r="U303" s="280"/>
      <c r="V303" s="280"/>
      <c r="W303" s="280"/>
      <c r="X303" s="280"/>
      <c r="Y303" s="280"/>
    </row>
    <row r="304" spans="1:25" s="9" customFormat="1" ht="24.75" customHeight="1">
      <c r="A304" s="14"/>
      <c r="B304" s="14"/>
      <c r="C304" s="14"/>
      <c r="D304" s="65" t="s">
        <v>81</v>
      </c>
      <c r="E304" s="67">
        <f aca="true" t="shared" si="16" ref="E304:R304">SUM(E296,E285,E259,E238,E194,E187,E129,E126,E122,E114,E83,E79,E37,E30,E18,E12,E9,)</f>
        <v>47469873</v>
      </c>
      <c r="F304" s="67" t="e">
        <f t="shared" si="16"/>
        <v>#REF!</v>
      </c>
      <c r="G304" s="67" t="e">
        <f t="shared" si="16"/>
        <v>#REF!</v>
      </c>
      <c r="H304" s="67" t="e">
        <f t="shared" si="16"/>
        <v>#REF!</v>
      </c>
      <c r="I304" s="67">
        <f t="shared" si="16"/>
        <v>0</v>
      </c>
      <c r="J304" s="67">
        <f t="shared" si="16"/>
        <v>0</v>
      </c>
      <c r="K304" s="67">
        <f t="shared" si="16"/>
        <v>0</v>
      </c>
      <c r="L304" s="67">
        <f t="shared" si="16"/>
        <v>0</v>
      </c>
      <c r="M304" s="67">
        <f t="shared" si="16"/>
        <v>0</v>
      </c>
      <c r="N304" s="67">
        <f t="shared" si="16"/>
        <v>0</v>
      </c>
      <c r="O304" s="67">
        <f t="shared" si="16"/>
        <v>0</v>
      </c>
      <c r="P304" s="67">
        <f t="shared" si="16"/>
        <v>0</v>
      </c>
      <c r="Q304" s="67">
        <f t="shared" si="16"/>
        <v>0</v>
      </c>
      <c r="R304" s="67">
        <f t="shared" si="16"/>
        <v>0</v>
      </c>
      <c r="S304" s="278"/>
      <c r="T304" s="279">
        <f aca="true" t="shared" si="17" ref="T304:Y304">SUM(T9:T303)</f>
        <v>12003562</v>
      </c>
      <c r="U304" s="279">
        <f t="shared" si="17"/>
        <v>1105595</v>
      </c>
      <c r="V304" s="279">
        <f t="shared" si="17"/>
        <v>2288020</v>
      </c>
      <c r="W304" s="279">
        <f t="shared" si="17"/>
        <v>314526</v>
      </c>
      <c r="X304" s="279">
        <f t="shared" si="17"/>
        <v>212995</v>
      </c>
      <c r="Y304" s="279">
        <f t="shared" si="17"/>
        <v>9873245</v>
      </c>
    </row>
    <row r="305" spans="1:7" ht="12.75">
      <c r="A305" s="106"/>
      <c r="B305" s="106"/>
      <c r="C305" s="106"/>
      <c r="D305" s="106"/>
      <c r="E305" s="246"/>
      <c r="F305" s="193"/>
      <c r="G305" s="194"/>
    </row>
    <row r="306" spans="4:6" ht="12.75">
      <c r="D306" s="106"/>
      <c r="E306" s="246"/>
      <c r="F306" s="193"/>
    </row>
    <row r="307" spans="4:6" ht="12.75">
      <c r="D307" s="106"/>
      <c r="E307" s="246"/>
      <c r="F307" s="193"/>
    </row>
    <row r="308" spans="4:6" ht="12.75">
      <c r="D308" s="106"/>
      <c r="E308" s="246"/>
      <c r="F308" s="193"/>
    </row>
    <row r="309" spans="1:25" s="39" customFormat="1" ht="12.75">
      <c r="A309" s="41"/>
      <c r="B309" s="41"/>
      <c r="C309" s="41"/>
      <c r="D309" s="219"/>
      <c r="E309" s="182"/>
      <c r="F309" s="182"/>
      <c r="G309" s="194"/>
      <c r="H309" s="188"/>
      <c r="T309" s="277"/>
      <c r="U309" s="277"/>
      <c r="V309" s="277">
        <f>T304+U304+V304+W304+X304</f>
        <v>15924698</v>
      </c>
      <c r="W309" s="277"/>
      <c r="X309" s="277"/>
      <c r="Y309" s="277"/>
    </row>
    <row r="310" spans="1:25" s="39" customFormat="1" ht="12.75">
      <c r="A310" s="41"/>
      <c r="B310" s="41"/>
      <c r="C310" s="41"/>
      <c r="D310" s="219"/>
      <c r="E310" s="182"/>
      <c r="F310" s="182"/>
      <c r="G310" s="185"/>
      <c r="H310" s="188"/>
      <c r="T310" s="277"/>
      <c r="U310" s="277"/>
      <c r="V310" s="277"/>
      <c r="W310" s="277"/>
      <c r="X310" s="277"/>
      <c r="Y310" s="277"/>
    </row>
    <row r="311" spans="1:25" s="39" customFormat="1" ht="12.75">
      <c r="A311" s="41"/>
      <c r="B311" s="41"/>
      <c r="C311" s="41"/>
      <c r="D311" s="41"/>
      <c r="E311" s="40"/>
      <c r="F311" s="182"/>
      <c r="G311" s="185"/>
      <c r="H311" s="188"/>
      <c r="T311" s="277"/>
      <c r="U311" s="277"/>
      <c r="V311" s="277">
        <v>-15900898</v>
      </c>
      <c r="W311" s="277"/>
      <c r="X311" s="277"/>
      <c r="Y311" s="277"/>
    </row>
    <row r="312" spans="1:25" s="39" customFormat="1" ht="12.75">
      <c r="A312" s="41"/>
      <c r="B312" s="41"/>
      <c r="C312" s="41"/>
      <c r="D312" s="41"/>
      <c r="E312" s="40"/>
      <c r="F312" s="182"/>
      <c r="G312" s="185"/>
      <c r="H312" s="188"/>
      <c r="T312" s="277"/>
      <c r="U312" s="277"/>
      <c r="V312" s="277">
        <f>V309+V311</f>
        <v>23800</v>
      </c>
      <c r="W312" s="277"/>
      <c r="X312" s="277"/>
      <c r="Y312" s="277"/>
    </row>
    <row r="313" spans="1:25" s="39" customFormat="1" ht="12.75">
      <c r="A313" s="41"/>
      <c r="B313" s="41"/>
      <c r="C313" s="41"/>
      <c r="D313" s="41"/>
      <c r="E313" s="40"/>
      <c r="F313" s="182"/>
      <c r="G313" s="185"/>
      <c r="H313" s="188"/>
      <c r="T313" s="277"/>
      <c r="U313" s="277"/>
      <c r="V313" s="277"/>
      <c r="W313" s="277"/>
      <c r="X313" s="277"/>
      <c r="Y313" s="277"/>
    </row>
    <row r="314" spans="1:25" s="39" customFormat="1" ht="12.75">
      <c r="A314" s="41"/>
      <c r="B314" s="41"/>
      <c r="C314" s="41"/>
      <c r="D314" s="41"/>
      <c r="E314" s="40"/>
      <c r="F314" s="182"/>
      <c r="G314" s="185"/>
      <c r="H314" s="188"/>
      <c r="T314" s="277"/>
      <c r="U314" s="277"/>
      <c r="V314" s="277"/>
      <c r="W314" s="277"/>
      <c r="X314" s="277"/>
      <c r="Y314" s="277"/>
    </row>
    <row r="315" spans="1:25" s="39" customFormat="1" ht="12.75">
      <c r="A315" s="41"/>
      <c r="B315" s="41"/>
      <c r="C315" s="41"/>
      <c r="D315" s="41"/>
      <c r="E315" s="40"/>
      <c r="F315" s="182"/>
      <c r="G315" s="185"/>
      <c r="H315" s="188"/>
      <c r="T315" s="277"/>
      <c r="U315" s="277"/>
      <c r="V315" s="277"/>
      <c r="W315" s="277"/>
      <c r="X315" s="277"/>
      <c r="Y315" s="277"/>
    </row>
    <row r="316" spans="1:25" s="39" customFormat="1" ht="12.75">
      <c r="A316" s="41"/>
      <c r="B316" s="41"/>
      <c r="C316" s="41"/>
      <c r="D316" s="41"/>
      <c r="E316" s="40"/>
      <c r="F316" s="182"/>
      <c r="G316" s="185"/>
      <c r="H316" s="188"/>
      <c r="T316" s="277"/>
      <c r="U316" s="277"/>
      <c r="V316" s="277"/>
      <c r="W316" s="277"/>
      <c r="X316" s="277"/>
      <c r="Y316" s="277"/>
    </row>
    <row r="317" spans="1:25" s="39" customFormat="1" ht="12.75">
      <c r="A317" s="41"/>
      <c r="B317" s="41"/>
      <c r="C317" s="41"/>
      <c r="D317" s="41"/>
      <c r="E317" s="40"/>
      <c r="F317" s="182"/>
      <c r="G317" s="185"/>
      <c r="H317" s="188"/>
      <c r="T317" s="277"/>
      <c r="U317" s="277"/>
      <c r="V317" s="277"/>
      <c r="W317" s="277"/>
      <c r="X317" s="277"/>
      <c r="Y317" s="277"/>
    </row>
    <row r="318" spans="1:25" s="39" customFormat="1" ht="12.75">
      <c r="A318" s="41"/>
      <c r="B318" s="41"/>
      <c r="C318" s="41"/>
      <c r="D318" s="41"/>
      <c r="E318" s="40"/>
      <c r="F318" s="182"/>
      <c r="G318" s="185"/>
      <c r="H318" s="188"/>
      <c r="T318" s="277"/>
      <c r="U318" s="277"/>
      <c r="V318" s="277"/>
      <c r="W318" s="277"/>
      <c r="X318" s="277"/>
      <c r="Y318" s="277"/>
    </row>
    <row r="319" spans="1:25" s="39" customFormat="1" ht="12.75">
      <c r="A319" s="41"/>
      <c r="B319" s="41"/>
      <c r="C319" s="41"/>
      <c r="D319" s="41"/>
      <c r="E319" s="40"/>
      <c r="F319" s="182"/>
      <c r="G319" s="185"/>
      <c r="H319" s="188"/>
      <c r="T319" s="277"/>
      <c r="U319" s="277"/>
      <c r="V319" s="277"/>
      <c r="W319" s="277"/>
      <c r="X319" s="277"/>
      <c r="Y319" s="277"/>
    </row>
    <row r="320" spans="1:25" s="39" customFormat="1" ht="12.75">
      <c r="A320" s="41"/>
      <c r="B320" s="41"/>
      <c r="C320" s="41"/>
      <c r="D320" s="41"/>
      <c r="E320" s="40"/>
      <c r="F320" s="182"/>
      <c r="G320" s="185"/>
      <c r="H320" s="188"/>
      <c r="T320" s="277"/>
      <c r="U320" s="277"/>
      <c r="V320" s="277"/>
      <c r="W320" s="277"/>
      <c r="X320" s="277"/>
      <c r="Y320" s="277"/>
    </row>
    <row r="321" spans="1:25" s="39" customFormat="1" ht="12.75">
      <c r="A321" s="41"/>
      <c r="B321" s="41"/>
      <c r="C321" s="41"/>
      <c r="D321" s="41"/>
      <c r="E321" s="40"/>
      <c r="F321" s="182"/>
      <c r="G321" s="185"/>
      <c r="H321" s="188"/>
      <c r="T321" s="277"/>
      <c r="U321" s="277"/>
      <c r="V321" s="277"/>
      <c r="W321" s="277"/>
      <c r="X321" s="277"/>
      <c r="Y321" s="277"/>
    </row>
    <row r="322" spans="1:25" s="39" customFormat="1" ht="12.75">
      <c r="A322" s="41"/>
      <c r="B322" s="41"/>
      <c r="C322" s="41"/>
      <c r="D322" s="41"/>
      <c r="E322" s="40"/>
      <c r="F322" s="182"/>
      <c r="G322" s="185"/>
      <c r="H322" s="188"/>
      <c r="T322" s="277"/>
      <c r="U322" s="277"/>
      <c r="V322" s="277"/>
      <c r="W322" s="277"/>
      <c r="X322" s="277"/>
      <c r="Y322" s="277"/>
    </row>
    <row r="323" spans="1:25" s="39" customFormat="1" ht="12.75">
      <c r="A323" s="41"/>
      <c r="B323" s="41"/>
      <c r="C323" s="41"/>
      <c r="D323" s="41"/>
      <c r="E323" s="40"/>
      <c r="F323" s="182"/>
      <c r="G323" s="185"/>
      <c r="H323" s="188"/>
      <c r="T323" s="277"/>
      <c r="U323" s="277"/>
      <c r="V323" s="277"/>
      <c r="W323" s="277"/>
      <c r="X323" s="277"/>
      <c r="Y323" s="277"/>
    </row>
    <row r="324" spans="1:25" s="39" customFormat="1" ht="12.75">
      <c r="A324" s="41"/>
      <c r="B324" s="41"/>
      <c r="C324" s="41"/>
      <c r="D324" s="41"/>
      <c r="E324" s="40"/>
      <c r="F324" s="182"/>
      <c r="G324" s="185"/>
      <c r="H324" s="188"/>
      <c r="T324" s="277"/>
      <c r="U324" s="277"/>
      <c r="V324" s="277"/>
      <c r="W324" s="277"/>
      <c r="X324" s="277"/>
      <c r="Y324" s="277"/>
    </row>
    <row r="325" spans="1:25" s="39" customFormat="1" ht="12.75">
      <c r="A325" s="41"/>
      <c r="B325" s="41"/>
      <c r="C325" s="41"/>
      <c r="D325" s="41"/>
      <c r="E325" s="40"/>
      <c r="F325" s="182"/>
      <c r="G325" s="185"/>
      <c r="H325" s="188"/>
      <c r="T325" s="277"/>
      <c r="U325" s="277"/>
      <c r="V325" s="277"/>
      <c r="W325" s="277"/>
      <c r="X325" s="277"/>
      <c r="Y325" s="277"/>
    </row>
    <row r="326" spans="1:25" s="39" customFormat="1" ht="12.75">
      <c r="A326" s="41"/>
      <c r="B326" s="41"/>
      <c r="C326" s="41"/>
      <c r="D326" s="41"/>
      <c r="E326" s="40"/>
      <c r="F326" s="182"/>
      <c r="G326" s="185"/>
      <c r="H326" s="188"/>
      <c r="T326" s="277"/>
      <c r="U326" s="277"/>
      <c r="V326" s="277"/>
      <c r="W326" s="277"/>
      <c r="X326" s="277"/>
      <c r="Y326" s="277"/>
    </row>
    <row r="327" spans="1:25" s="39" customFormat="1" ht="12.75">
      <c r="A327" s="41"/>
      <c r="B327" s="41"/>
      <c r="C327" s="41"/>
      <c r="D327" s="41"/>
      <c r="E327" s="40"/>
      <c r="F327" s="182"/>
      <c r="G327" s="185"/>
      <c r="H327" s="188"/>
      <c r="T327" s="277"/>
      <c r="U327" s="277"/>
      <c r="V327" s="277"/>
      <c r="W327" s="277"/>
      <c r="X327" s="277"/>
      <c r="Y327" s="277"/>
    </row>
    <row r="328" spans="1:25" s="39" customFormat="1" ht="12.75">
      <c r="A328" s="41"/>
      <c r="B328" s="41"/>
      <c r="C328" s="41"/>
      <c r="D328" s="41"/>
      <c r="E328" s="40"/>
      <c r="F328" s="182"/>
      <c r="G328" s="185"/>
      <c r="H328" s="188"/>
      <c r="T328" s="277"/>
      <c r="U328" s="277"/>
      <c r="V328" s="277"/>
      <c r="W328" s="277"/>
      <c r="X328" s="277"/>
      <c r="Y328" s="277"/>
    </row>
    <row r="329" spans="1:25" s="39" customFormat="1" ht="12.75">
      <c r="A329" s="41"/>
      <c r="B329" s="41"/>
      <c r="C329" s="41"/>
      <c r="D329" s="41"/>
      <c r="E329" s="40"/>
      <c r="F329" s="182"/>
      <c r="G329" s="185"/>
      <c r="H329" s="188"/>
      <c r="T329" s="277"/>
      <c r="U329" s="277"/>
      <c r="V329" s="277"/>
      <c r="W329" s="277"/>
      <c r="X329" s="277"/>
      <c r="Y329" s="277"/>
    </row>
    <row r="330" spans="1:25" s="39" customFormat="1" ht="12.75">
      <c r="A330" s="41"/>
      <c r="B330" s="41"/>
      <c r="C330" s="41"/>
      <c r="D330" s="41"/>
      <c r="E330" s="40"/>
      <c r="F330" s="182"/>
      <c r="G330" s="185"/>
      <c r="H330" s="188"/>
      <c r="T330" s="277"/>
      <c r="U330" s="277"/>
      <c r="V330" s="277"/>
      <c r="W330" s="277"/>
      <c r="X330" s="277"/>
      <c r="Y330" s="277"/>
    </row>
    <row r="331" spans="1:25" s="39" customFormat="1" ht="12.75">
      <c r="A331" s="41"/>
      <c r="B331" s="41"/>
      <c r="C331" s="41"/>
      <c r="D331" s="41"/>
      <c r="E331" s="40"/>
      <c r="F331" s="182"/>
      <c r="G331" s="185"/>
      <c r="H331" s="188"/>
      <c r="T331" s="277"/>
      <c r="U331" s="277"/>
      <c r="V331" s="277"/>
      <c r="W331" s="277"/>
      <c r="X331" s="277"/>
      <c r="Y331" s="277"/>
    </row>
    <row r="332" spans="1:25" s="39" customFormat="1" ht="12.75">
      <c r="A332" s="41"/>
      <c r="B332" s="41"/>
      <c r="C332" s="41"/>
      <c r="D332" s="41"/>
      <c r="E332" s="40"/>
      <c r="F332" s="182"/>
      <c r="G332" s="185"/>
      <c r="H332" s="188"/>
      <c r="T332" s="277"/>
      <c r="U332" s="277"/>
      <c r="V332" s="277"/>
      <c r="W332" s="277"/>
      <c r="X332" s="277"/>
      <c r="Y332" s="277"/>
    </row>
    <row r="333" spans="1:25" s="39" customFormat="1" ht="12.75">
      <c r="A333" s="41"/>
      <c r="B333" s="41"/>
      <c r="C333" s="41"/>
      <c r="D333" s="41"/>
      <c r="E333" s="40"/>
      <c r="F333" s="182"/>
      <c r="G333" s="185"/>
      <c r="H333" s="188"/>
      <c r="T333" s="277"/>
      <c r="U333" s="277"/>
      <c r="V333" s="277"/>
      <c r="W333" s="277"/>
      <c r="X333" s="277"/>
      <c r="Y333" s="277"/>
    </row>
    <row r="334" spans="1:25" s="39" customFormat="1" ht="12.75">
      <c r="A334" s="41"/>
      <c r="B334" s="41"/>
      <c r="C334" s="41"/>
      <c r="D334" s="41"/>
      <c r="E334" s="40"/>
      <c r="F334" s="182"/>
      <c r="G334" s="185"/>
      <c r="H334" s="188"/>
      <c r="T334" s="277"/>
      <c r="U334" s="277"/>
      <c r="V334" s="277"/>
      <c r="W334" s="277"/>
      <c r="X334" s="277"/>
      <c r="Y334" s="277"/>
    </row>
    <row r="335" spans="1:25" s="39" customFormat="1" ht="12.75">
      <c r="A335" s="41"/>
      <c r="B335" s="41"/>
      <c r="C335" s="41"/>
      <c r="D335" s="41"/>
      <c r="E335" s="40"/>
      <c r="F335" s="182"/>
      <c r="G335" s="185"/>
      <c r="H335" s="188"/>
      <c r="T335" s="277"/>
      <c r="U335" s="277"/>
      <c r="V335" s="277"/>
      <c r="W335" s="277"/>
      <c r="X335" s="277"/>
      <c r="Y335" s="277"/>
    </row>
    <row r="336" spans="1:25" s="39" customFormat="1" ht="12.75">
      <c r="A336" s="41"/>
      <c r="B336" s="41"/>
      <c r="C336" s="41"/>
      <c r="D336" s="41"/>
      <c r="E336" s="40"/>
      <c r="F336" s="182"/>
      <c r="G336" s="185"/>
      <c r="H336" s="188"/>
      <c r="T336" s="277"/>
      <c r="U336" s="277"/>
      <c r="V336" s="277"/>
      <c r="W336" s="277"/>
      <c r="X336" s="277"/>
      <c r="Y336" s="277"/>
    </row>
    <row r="337" spans="1:25" s="39" customFormat="1" ht="12.75">
      <c r="A337" s="41"/>
      <c r="B337" s="41"/>
      <c r="C337" s="41"/>
      <c r="D337" s="41"/>
      <c r="E337" s="40"/>
      <c r="F337" s="182"/>
      <c r="G337" s="185"/>
      <c r="H337" s="188"/>
      <c r="T337" s="277"/>
      <c r="U337" s="277"/>
      <c r="V337" s="277"/>
      <c r="W337" s="277"/>
      <c r="X337" s="277"/>
      <c r="Y337" s="277"/>
    </row>
    <row r="338" spans="1:25" s="39" customFormat="1" ht="12.75">
      <c r="A338" s="41"/>
      <c r="B338" s="41"/>
      <c r="C338" s="41"/>
      <c r="D338" s="41"/>
      <c r="E338" s="40"/>
      <c r="F338" s="182"/>
      <c r="G338" s="185"/>
      <c r="H338" s="188"/>
      <c r="T338" s="277"/>
      <c r="U338" s="277"/>
      <c r="V338" s="277"/>
      <c r="W338" s="277"/>
      <c r="X338" s="277"/>
      <c r="Y338" s="277"/>
    </row>
    <row r="339" spans="1:25" s="39" customFormat="1" ht="12.75">
      <c r="A339" s="41"/>
      <c r="B339" s="41"/>
      <c r="C339" s="41"/>
      <c r="D339" s="41"/>
      <c r="E339" s="40"/>
      <c r="F339" s="182"/>
      <c r="G339" s="185"/>
      <c r="H339" s="188"/>
      <c r="T339" s="277"/>
      <c r="U339" s="277"/>
      <c r="V339" s="277"/>
      <c r="W339" s="277"/>
      <c r="X339" s="277"/>
      <c r="Y339" s="277"/>
    </row>
    <row r="340" spans="1:25" s="39" customFormat="1" ht="12.75">
      <c r="A340" s="41"/>
      <c r="B340" s="41"/>
      <c r="C340" s="41"/>
      <c r="D340" s="41"/>
      <c r="E340" s="40"/>
      <c r="F340" s="182"/>
      <c r="G340" s="185"/>
      <c r="H340" s="188"/>
      <c r="T340" s="277"/>
      <c r="U340" s="277"/>
      <c r="V340" s="277"/>
      <c r="W340" s="277"/>
      <c r="X340" s="277"/>
      <c r="Y340" s="277"/>
    </row>
    <row r="341" spans="1:25" s="39" customFormat="1" ht="12.75">
      <c r="A341" s="41"/>
      <c r="B341" s="41"/>
      <c r="C341" s="41"/>
      <c r="D341" s="41"/>
      <c r="E341" s="40"/>
      <c r="F341" s="182"/>
      <c r="G341" s="185"/>
      <c r="H341" s="188"/>
      <c r="T341" s="277"/>
      <c r="U341" s="277"/>
      <c r="V341" s="277"/>
      <c r="W341" s="277"/>
      <c r="X341" s="277"/>
      <c r="Y341" s="277"/>
    </row>
    <row r="342" spans="1:25" s="39" customFormat="1" ht="12.75">
      <c r="A342" s="41"/>
      <c r="B342" s="41"/>
      <c r="C342" s="41"/>
      <c r="D342" s="41"/>
      <c r="E342" s="40"/>
      <c r="F342" s="182"/>
      <c r="G342" s="185"/>
      <c r="H342" s="188"/>
      <c r="T342" s="277"/>
      <c r="U342" s="277"/>
      <c r="V342" s="277"/>
      <c r="W342" s="277"/>
      <c r="X342" s="277"/>
      <c r="Y342" s="277"/>
    </row>
    <row r="343" spans="1:25" s="39" customFormat="1" ht="12.75">
      <c r="A343" s="41"/>
      <c r="B343" s="41"/>
      <c r="C343" s="41"/>
      <c r="D343" s="41"/>
      <c r="E343" s="40"/>
      <c r="F343" s="182"/>
      <c r="G343" s="185"/>
      <c r="H343" s="188"/>
      <c r="T343" s="277"/>
      <c r="U343" s="277"/>
      <c r="V343" s="277"/>
      <c r="W343" s="277"/>
      <c r="X343" s="277"/>
      <c r="Y343" s="277"/>
    </row>
    <row r="344" spans="1:25" s="39" customFormat="1" ht="12.75">
      <c r="A344" s="41"/>
      <c r="B344" s="41"/>
      <c r="C344" s="41"/>
      <c r="D344" s="41"/>
      <c r="E344" s="40"/>
      <c r="F344" s="182"/>
      <c r="G344" s="185"/>
      <c r="H344" s="188"/>
      <c r="T344" s="277"/>
      <c r="U344" s="277"/>
      <c r="V344" s="277"/>
      <c r="W344" s="277"/>
      <c r="X344" s="277"/>
      <c r="Y344" s="277"/>
    </row>
    <row r="345" spans="1:25" s="39" customFormat="1" ht="12.75">
      <c r="A345" s="41"/>
      <c r="B345" s="41"/>
      <c r="C345" s="41"/>
      <c r="D345" s="41"/>
      <c r="E345" s="40"/>
      <c r="F345" s="182"/>
      <c r="G345" s="185"/>
      <c r="H345" s="188"/>
      <c r="T345" s="277"/>
      <c r="U345" s="277"/>
      <c r="V345" s="277"/>
      <c r="W345" s="277"/>
      <c r="X345" s="277"/>
      <c r="Y345" s="277"/>
    </row>
    <row r="346" spans="1:25" s="39" customFormat="1" ht="12.75">
      <c r="A346" s="41"/>
      <c r="B346" s="41"/>
      <c r="C346" s="41"/>
      <c r="D346" s="41"/>
      <c r="E346" s="40"/>
      <c r="F346" s="182"/>
      <c r="G346" s="185"/>
      <c r="H346" s="188"/>
      <c r="T346" s="277"/>
      <c r="U346" s="277"/>
      <c r="V346" s="277"/>
      <c r="W346" s="277"/>
      <c r="X346" s="277"/>
      <c r="Y346" s="277"/>
    </row>
    <row r="347" spans="1:25" s="39" customFormat="1" ht="12.75">
      <c r="A347" s="41"/>
      <c r="B347" s="41"/>
      <c r="C347" s="41"/>
      <c r="D347" s="41"/>
      <c r="E347" s="40"/>
      <c r="F347" s="182"/>
      <c r="G347" s="185"/>
      <c r="H347" s="188"/>
      <c r="T347" s="277"/>
      <c r="U347" s="277"/>
      <c r="V347" s="277"/>
      <c r="W347" s="277"/>
      <c r="X347" s="277"/>
      <c r="Y347" s="277"/>
    </row>
    <row r="348" spans="1:25" s="39" customFormat="1" ht="12.75">
      <c r="A348" s="41"/>
      <c r="B348" s="41"/>
      <c r="C348" s="41"/>
      <c r="D348" s="41"/>
      <c r="E348" s="40"/>
      <c r="F348" s="182"/>
      <c r="G348" s="185"/>
      <c r="H348" s="188"/>
      <c r="T348" s="277"/>
      <c r="U348" s="277"/>
      <c r="V348" s="277"/>
      <c r="W348" s="277"/>
      <c r="X348" s="277"/>
      <c r="Y348" s="277"/>
    </row>
    <row r="349" spans="1:25" s="39" customFormat="1" ht="12.75">
      <c r="A349" s="41"/>
      <c r="B349" s="41"/>
      <c r="C349" s="41"/>
      <c r="D349" s="41"/>
      <c r="E349" s="40"/>
      <c r="F349" s="182"/>
      <c r="G349" s="185"/>
      <c r="H349" s="188"/>
      <c r="T349" s="277"/>
      <c r="U349" s="277"/>
      <c r="V349" s="277"/>
      <c r="W349" s="277"/>
      <c r="X349" s="277"/>
      <c r="Y349" s="277"/>
    </row>
    <row r="350" spans="1:25" s="39" customFormat="1" ht="12.75">
      <c r="A350" s="41"/>
      <c r="B350" s="41"/>
      <c r="C350" s="41"/>
      <c r="D350" s="41"/>
      <c r="E350" s="40"/>
      <c r="F350" s="182"/>
      <c r="G350" s="185"/>
      <c r="H350" s="188"/>
      <c r="T350" s="277"/>
      <c r="U350" s="277"/>
      <c r="V350" s="277"/>
      <c r="W350" s="277"/>
      <c r="X350" s="277"/>
      <c r="Y350" s="277"/>
    </row>
    <row r="351" spans="1:25" s="39" customFormat="1" ht="12.75">
      <c r="A351" s="41"/>
      <c r="B351" s="41"/>
      <c r="C351" s="41"/>
      <c r="D351" s="41"/>
      <c r="E351" s="40"/>
      <c r="F351" s="182"/>
      <c r="G351" s="185"/>
      <c r="H351" s="188"/>
      <c r="T351" s="277"/>
      <c r="U351" s="277"/>
      <c r="V351" s="277"/>
      <c r="W351" s="277"/>
      <c r="X351" s="277"/>
      <c r="Y351" s="277"/>
    </row>
    <row r="352" spans="1:25" s="39" customFormat="1" ht="12.75">
      <c r="A352" s="41"/>
      <c r="B352" s="41"/>
      <c r="C352" s="41"/>
      <c r="D352" s="41"/>
      <c r="E352" s="40"/>
      <c r="F352" s="182"/>
      <c r="G352" s="185"/>
      <c r="H352" s="188"/>
      <c r="T352" s="277"/>
      <c r="U352" s="277"/>
      <c r="V352" s="277"/>
      <c r="W352" s="277"/>
      <c r="X352" s="277"/>
      <c r="Y352" s="277"/>
    </row>
    <row r="353" spans="1:25" s="39" customFormat="1" ht="12.75">
      <c r="A353" s="41"/>
      <c r="B353" s="41"/>
      <c r="C353" s="41"/>
      <c r="D353" s="41"/>
      <c r="E353" s="40"/>
      <c r="F353" s="182"/>
      <c r="G353" s="185"/>
      <c r="H353" s="188"/>
      <c r="T353" s="277"/>
      <c r="U353" s="277"/>
      <c r="V353" s="277"/>
      <c r="W353" s="277"/>
      <c r="X353" s="277"/>
      <c r="Y353" s="277"/>
    </row>
    <row r="354" spans="1:25" s="39" customFormat="1" ht="12.75">
      <c r="A354" s="41"/>
      <c r="B354" s="41"/>
      <c r="C354" s="41"/>
      <c r="D354" s="41"/>
      <c r="E354" s="40"/>
      <c r="F354" s="182"/>
      <c r="G354" s="185"/>
      <c r="H354" s="188"/>
      <c r="T354" s="277"/>
      <c r="U354" s="277"/>
      <c r="V354" s="277"/>
      <c r="W354" s="277"/>
      <c r="X354" s="277"/>
      <c r="Y354" s="277"/>
    </row>
    <row r="355" spans="1:25" s="39" customFormat="1" ht="12.75">
      <c r="A355" s="41"/>
      <c r="B355" s="41"/>
      <c r="C355" s="41"/>
      <c r="D355" s="41"/>
      <c r="E355" s="40"/>
      <c r="F355" s="182"/>
      <c r="G355" s="185"/>
      <c r="H355" s="188"/>
      <c r="T355" s="277"/>
      <c r="U355" s="277"/>
      <c r="V355" s="277"/>
      <c r="W355" s="277"/>
      <c r="X355" s="277"/>
      <c r="Y355" s="277"/>
    </row>
    <row r="356" spans="1:25" s="39" customFormat="1" ht="12.75">
      <c r="A356" s="41"/>
      <c r="B356" s="41"/>
      <c r="C356" s="41"/>
      <c r="D356" s="41"/>
      <c r="E356" s="40"/>
      <c r="F356" s="182"/>
      <c r="G356" s="185"/>
      <c r="H356" s="188"/>
      <c r="T356" s="277"/>
      <c r="U356" s="277"/>
      <c r="V356" s="277"/>
      <c r="W356" s="277"/>
      <c r="X356" s="277"/>
      <c r="Y356" s="277"/>
    </row>
    <row r="357" spans="1:25" s="39" customFormat="1" ht="12.75">
      <c r="A357" s="41"/>
      <c r="B357" s="41"/>
      <c r="C357" s="41"/>
      <c r="D357" s="41"/>
      <c r="E357" s="40"/>
      <c r="F357" s="182"/>
      <c r="G357" s="185"/>
      <c r="H357" s="188"/>
      <c r="T357" s="277"/>
      <c r="U357" s="277"/>
      <c r="V357" s="277"/>
      <c r="W357" s="277"/>
      <c r="X357" s="277"/>
      <c r="Y357" s="277"/>
    </row>
    <row r="358" spans="1:25" s="39" customFormat="1" ht="12.75">
      <c r="A358" s="41"/>
      <c r="B358" s="41"/>
      <c r="C358" s="41"/>
      <c r="D358" s="41"/>
      <c r="E358" s="40"/>
      <c r="F358" s="182"/>
      <c r="G358" s="185"/>
      <c r="H358" s="188"/>
      <c r="T358" s="277"/>
      <c r="U358" s="277"/>
      <c r="V358" s="277"/>
      <c r="W358" s="277"/>
      <c r="X358" s="277"/>
      <c r="Y358" s="277"/>
    </row>
    <row r="359" spans="1:25" s="39" customFormat="1" ht="12.75">
      <c r="A359" s="41"/>
      <c r="B359" s="41"/>
      <c r="C359" s="41"/>
      <c r="D359" s="41"/>
      <c r="E359" s="40"/>
      <c r="F359" s="182"/>
      <c r="G359" s="185"/>
      <c r="H359" s="188"/>
      <c r="T359" s="277"/>
      <c r="U359" s="277"/>
      <c r="V359" s="277"/>
      <c r="W359" s="277"/>
      <c r="X359" s="277"/>
      <c r="Y359" s="277"/>
    </row>
    <row r="360" spans="1:25" s="39" customFormat="1" ht="12.75">
      <c r="A360" s="41"/>
      <c r="B360" s="41"/>
      <c r="C360" s="41"/>
      <c r="D360" s="41"/>
      <c r="E360" s="40"/>
      <c r="F360" s="182"/>
      <c r="G360" s="185"/>
      <c r="H360" s="188"/>
      <c r="T360" s="277"/>
      <c r="U360" s="277"/>
      <c r="V360" s="277"/>
      <c r="W360" s="277"/>
      <c r="X360" s="277"/>
      <c r="Y360" s="277"/>
    </row>
    <row r="361" spans="1:25" s="39" customFormat="1" ht="12.75">
      <c r="A361" s="41"/>
      <c r="B361" s="41"/>
      <c r="C361" s="41"/>
      <c r="D361" s="41"/>
      <c r="E361" s="40"/>
      <c r="F361" s="182"/>
      <c r="G361" s="185"/>
      <c r="H361" s="188"/>
      <c r="T361" s="277"/>
      <c r="U361" s="277"/>
      <c r="V361" s="277"/>
      <c r="W361" s="277"/>
      <c r="X361" s="277"/>
      <c r="Y361" s="277"/>
    </row>
    <row r="362" spans="1:25" s="39" customFormat="1" ht="12.75">
      <c r="A362" s="41"/>
      <c r="B362" s="41"/>
      <c r="C362" s="41"/>
      <c r="D362" s="41"/>
      <c r="E362" s="40"/>
      <c r="F362" s="182"/>
      <c r="G362" s="185"/>
      <c r="H362" s="188"/>
      <c r="T362" s="277"/>
      <c r="U362" s="277"/>
      <c r="V362" s="277"/>
      <c r="W362" s="277"/>
      <c r="X362" s="277"/>
      <c r="Y362" s="277"/>
    </row>
    <row r="363" spans="1:25" s="39" customFormat="1" ht="12.75">
      <c r="A363" s="41"/>
      <c r="B363" s="41"/>
      <c r="C363" s="41"/>
      <c r="D363" s="41"/>
      <c r="E363" s="40"/>
      <c r="F363" s="182"/>
      <c r="G363" s="185"/>
      <c r="H363" s="188"/>
      <c r="T363" s="277"/>
      <c r="U363" s="277"/>
      <c r="V363" s="277"/>
      <c r="W363" s="277"/>
      <c r="X363" s="277"/>
      <c r="Y363" s="277"/>
    </row>
    <row r="364" spans="1:25" s="39" customFormat="1" ht="12.75">
      <c r="A364" s="41"/>
      <c r="B364" s="41"/>
      <c r="C364" s="41"/>
      <c r="D364" s="41"/>
      <c r="E364" s="40"/>
      <c r="F364" s="182"/>
      <c r="G364" s="185"/>
      <c r="H364" s="188"/>
      <c r="T364" s="277"/>
      <c r="U364" s="277"/>
      <c r="V364" s="277"/>
      <c r="W364" s="277"/>
      <c r="X364" s="277"/>
      <c r="Y364" s="277"/>
    </row>
    <row r="365" spans="1:25" s="39" customFormat="1" ht="12.75">
      <c r="A365" s="41"/>
      <c r="B365" s="41"/>
      <c r="C365" s="41"/>
      <c r="D365" s="41"/>
      <c r="E365" s="40"/>
      <c r="F365" s="182"/>
      <c r="G365" s="185"/>
      <c r="H365" s="188"/>
      <c r="T365" s="277"/>
      <c r="U365" s="277"/>
      <c r="V365" s="277"/>
      <c r="W365" s="277"/>
      <c r="X365" s="277"/>
      <c r="Y365" s="277"/>
    </row>
    <row r="366" spans="1:25" s="39" customFormat="1" ht="12.75">
      <c r="A366" s="41"/>
      <c r="B366" s="41"/>
      <c r="C366" s="41"/>
      <c r="D366" s="41"/>
      <c r="E366" s="40"/>
      <c r="F366" s="182"/>
      <c r="G366" s="185"/>
      <c r="H366" s="188"/>
      <c r="T366" s="277"/>
      <c r="U366" s="277"/>
      <c r="V366" s="277"/>
      <c r="W366" s="277"/>
      <c r="X366" s="277"/>
      <c r="Y366" s="277"/>
    </row>
    <row r="367" spans="1:25" s="39" customFormat="1" ht="12.75">
      <c r="A367" s="41"/>
      <c r="B367" s="41"/>
      <c r="C367" s="41"/>
      <c r="D367" s="41"/>
      <c r="E367" s="40"/>
      <c r="F367" s="182"/>
      <c r="G367" s="185"/>
      <c r="H367" s="188"/>
      <c r="T367" s="277"/>
      <c r="U367" s="277"/>
      <c r="V367" s="277"/>
      <c r="W367" s="277"/>
      <c r="X367" s="277"/>
      <c r="Y367" s="277"/>
    </row>
    <row r="368" spans="1:25" s="39" customFormat="1" ht="12.75">
      <c r="A368" s="41"/>
      <c r="B368" s="41"/>
      <c r="C368" s="41"/>
      <c r="D368" s="41"/>
      <c r="E368" s="40"/>
      <c r="F368" s="182"/>
      <c r="G368" s="185"/>
      <c r="H368" s="188"/>
      <c r="T368" s="277"/>
      <c r="U368" s="277"/>
      <c r="V368" s="277"/>
      <c r="W368" s="277"/>
      <c r="X368" s="277"/>
      <c r="Y368" s="277"/>
    </row>
    <row r="369" spans="1:25" s="39" customFormat="1" ht="12.75">
      <c r="A369" s="41"/>
      <c r="B369" s="41"/>
      <c r="C369" s="41"/>
      <c r="D369" s="41"/>
      <c r="E369" s="40"/>
      <c r="F369" s="182"/>
      <c r="G369" s="185"/>
      <c r="H369" s="188"/>
      <c r="T369" s="277"/>
      <c r="U369" s="277"/>
      <c r="V369" s="277"/>
      <c r="W369" s="277"/>
      <c r="X369" s="277"/>
      <c r="Y369" s="277"/>
    </row>
    <row r="370" spans="1:25" s="39" customFormat="1" ht="12.75">
      <c r="A370" s="41"/>
      <c r="B370" s="41"/>
      <c r="C370" s="41"/>
      <c r="D370" s="41"/>
      <c r="E370" s="40"/>
      <c r="F370" s="182"/>
      <c r="G370" s="185"/>
      <c r="H370" s="188"/>
      <c r="T370" s="277"/>
      <c r="U370" s="277"/>
      <c r="V370" s="277"/>
      <c r="W370" s="277"/>
      <c r="X370" s="277"/>
      <c r="Y370" s="277"/>
    </row>
    <row r="371" spans="1:25" s="39" customFormat="1" ht="12.75">
      <c r="A371" s="41"/>
      <c r="B371" s="41"/>
      <c r="C371" s="41"/>
      <c r="D371" s="41"/>
      <c r="E371" s="40"/>
      <c r="F371" s="182"/>
      <c r="G371" s="185"/>
      <c r="H371" s="188"/>
      <c r="T371" s="277"/>
      <c r="U371" s="277"/>
      <c r="V371" s="277"/>
      <c r="W371" s="277"/>
      <c r="X371" s="277"/>
      <c r="Y371" s="277"/>
    </row>
    <row r="372" spans="1:25" s="39" customFormat="1" ht="12.75">
      <c r="A372" s="41"/>
      <c r="B372" s="41"/>
      <c r="C372" s="41"/>
      <c r="D372" s="41"/>
      <c r="E372" s="40"/>
      <c r="F372" s="182"/>
      <c r="G372" s="185"/>
      <c r="H372" s="188"/>
      <c r="T372" s="277"/>
      <c r="U372" s="277"/>
      <c r="V372" s="277"/>
      <c r="W372" s="277"/>
      <c r="X372" s="277"/>
      <c r="Y372" s="277"/>
    </row>
    <row r="373" spans="1:25" s="39" customFormat="1" ht="12.75">
      <c r="A373" s="41"/>
      <c r="B373" s="41"/>
      <c r="C373" s="41"/>
      <c r="D373" s="41"/>
      <c r="E373" s="40"/>
      <c r="F373" s="182"/>
      <c r="G373" s="185"/>
      <c r="H373" s="188"/>
      <c r="T373" s="277"/>
      <c r="U373" s="277"/>
      <c r="V373" s="277"/>
      <c r="W373" s="277"/>
      <c r="X373" s="277"/>
      <c r="Y373" s="277"/>
    </row>
    <row r="374" spans="1:25" s="39" customFormat="1" ht="12.75">
      <c r="A374" s="41"/>
      <c r="B374" s="41"/>
      <c r="C374" s="41"/>
      <c r="D374" s="41"/>
      <c r="E374" s="40"/>
      <c r="F374" s="182"/>
      <c r="G374" s="185"/>
      <c r="H374" s="188"/>
      <c r="T374" s="277"/>
      <c r="U374" s="277"/>
      <c r="V374" s="277"/>
      <c r="W374" s="277"/>
      <c r="X374" s="277"/>
      <c r="Y374" s="277"/>
    </row>
    <row r="375" spans="1:25" s="39" customFormat="1" ht="12.75">
      <c r="A375" s="41"/>
      <c r="B375" s="41"/>
      <c r="C375" s="41"/>
      <c r="D375" s="41"/>
      <c r="E375" s="40"/>
      <c r="F375" s="182"/>
      <c r="G375" s="185"/>
      <c r="H375" s="188"/>
      <c r="T375" s="277"/>
      <c r="U375" s="277"/>
      <c r="V375" s="277"/>
      <c r="W375" s="277"/>
      <c r="X375" s="277"/>
      <c r="Y375" s="277"/>
    </row>
    <row r="376" spans="1:25" s="39" customFormat="1" ht="12.75">
      <c r="A376" s="41"/>
      <c r="B376" s="41"/>
      <c r="C376" s="41"/>
      <c r="D376" s="41"/>
      <c r="E376" s="40"/>
      <c r="F376" s="182"/>
      <c r="G376" s="185"/>
      <c r="H376" s="188"/>
      <c r="T376" s="277"/>
      <c r="U376" s="277"/>
      <c r="V376" s="277"/>
      <c r="W376" s="277"/>
      <c r="X376" s="277"/>
      <c r="Y376" s="277"/>
    </row>
    <row r="377" spans="1:25" s="39" customFormat="1" ht="12.75">
      <c r="A377" s="41"/>
      <c r="B377" s="41"/>
      <c r="C377" s="41"/>
      <c r="D377" s="41"/>
      <c r="E377" s="40"/>
      <c r="F377" s="182"/>
      <c r="G377" s="185"/>
      <c r="H377" s="188"/>
      <c r="T377" s="277"/>
      <c r="U377" s="277"/>
      <c r="V377" s="277"/>
      <c r="W377" s="277"/>
      <c r="X377" s="277"/>
      <c r="Y377" s="277"/>
    </row>
    <row r="378" spans="1:25" s="39" customFormat="1" ht="12.75">
      <c r="A378" s="41"/>
      <c r="B378" s="41"/>
      <c r="C378" s="41"/>
      <c r="D378" s="41"/>
      <c r="E378" s="40"/>
      <c r="F378" s="182"/>
      <c r="G378" s="185"/>
      <c r="H378" s="188"/>
      <c r="T378" s="277"/>
      <c r="U378" s="277"/>
      <c r="V378" s="277"/>
      <c r="W378" s="277"/>
      <c r="X378" s="277"/>
      <c r="Y378" s="277"/>
    </row>
    <row r="379" spans="1:25" s="39" customFormat="1" ht="12.75">
      <c r="A379" s="41"/>
      <c r="B379" s="41"/>
      <c r="C379" s="41"/>
      <c r="D379" s="41"/>
      <c r="E379" s="40"/>
      <c r="F379" s="182"/>
      <c r="G379" s="185"/>
      <c r="H379" s="188"/>
      <c r="T379" s="277"/>
      <c r="U379" s="277"/>
      <c r="V379" s="277"/>
      <c r="W379" s="277"/>
      <c r="X379" s="277"/>
      <c r="Y379" s="277"/>
    </row>
    <row r="380" spans="1:25" s="39" customFormat="1" ht="12.75">
      <c r="A380" s="41"/>
      <c r="B380" s="41"/>
      <c r="C380" s="41"/>
      <c r="D380" s="41"/>
      <c r="E380" s="40"/>
      <c r="F380" s="182"/>
      <c r="G380" s="185"/>
      <c r="H380" s="188"/>
      <c r="T380" s="277"/>
      <c r="U380" s="277"/>
      <c r="V380" s="277"/>
      <c r="W380" s="277"/>
      <c r="X380" s="277"/>
      <c r="Y380" s="277"/>
    </row>
    <row r="381" spans="1:25" s="39" customFormat="1" ht="12.75">
      <c r="A381" s="41"/>
      <c r="B381" s="41"/>
      <c r="C381" s="41"/>
      <c r="D381" s="41"/>
      <c r="E381" s="40"/>
      <c r="F381" s="182"/>
      <c r="G381" s="185"/>
      <c r="H381" s="188"/>
      <c r="T381" s="277"/>
      <c r="U381" s="277"/>
      <c r="V381" s="277"/>
      <c r="W381" s="277"/>
      <c r="X381" s="277"/>
      <c r="Y381" s="277"/>
    </row>
    <row r="382" spans="1:25" s="39" customFormat="1" ht="12.75">
      <c r="A382" s="41"/>
      <c r="B382" s="41"/>
      <c r="C382" s="41"/>
      <c r="D382" s="41"/>
      <c r="E382" s="40"/>
      <c r="F382" s="182"/>
      <c r="G382" s="185"/>
      <c r="H382" s="188"/>
      <c r="T382" s="277"/>
      <c r="U382" s="277"/>
      <c r="V382" s="277"/>
      <c r="W382" s="277"/>
      <c r="X382" s="277"/>
      <c r="Y382" s="277"/>
    </row>
    <row r="383" spans="1:25" s="39" customFormat="1" ht="12.75">
      <c r="A383" s="41"/>
      <c r="B383" s="41"/>
      <c r="C383" s="41"/>
      <c r="D383" s="41"/>
      <c r="E383" s="40"/>
      <c r="F383" s="182"/>
      <c r="G383" s="185"/>
      <c r="H383" s="188"/>
      <c r="T383" s="277"/>
      <c r="U383" s="277"/>
      <c r="V383" s="277"/>
      <c r="W383" s="277"/>
      <c r="X383" s="277"/>
      <c r="Y383" s="277"/>
    </row>
    <row r="384" spans="1:25" s="39" customFormat="1" ht="12.75">
      <c r="A384" s="41"/>
      <c r="B384" s="41"/>
      <c r="C384" s="41"/>
      <c r="D384" s="41"/>
      <c r="E384" s="40"/>
      <c r="F384" s="182"/>
      <c r="G384" s="185"/>
      <c r="H384" s="188"/>
      <c r="T384" s="277"/>
      <c r="U384" s="277"/>
      <c r="V384" s="277"/>
      <c r="W384" s="277"/>
      <c r="X384" s="277"/>
      <c r="Y384" s="277"/>
    </row>
    <row r="385" spans="1:25" s="39" customFormat="1" ht="12.75">
      <c r="A385" s="41"/>
      <c r="B385" s="41"/>
      <c r="C385" s="41"/>
      <c r="D385" s="41"/>
      <c r="E385" s="40"/>
      <c r="F385" s="182"/>
      <c r="G385" s="185"/>
      <c r="H385" s="188"/>
      <c r="T385" s="277"/>
      <c r="U385" s="277"/>
      <c r="V385" s="277"/>
      <c r="W385" s="277"/>
      <c r="X385" s="277"/>
      <c r="Y385" s="277"/>
    </row>
    <row r="386" spans="1:25" s="39" customFormat="1" ht="12.75">
      <c r="A386" s="41"/>
      <c r="B386" s="41"/>
      <c r="C386" s="41"/>
      <c r="D386" s="41"/>
      <c r="E386" s="40"/>
      <c r="F386" s="182"/>
      <c r="G386" s="185"/>
      <c r="H386" s="188"/>
      <c r="T386" s="277"/>
      <c r="U386" s="277"/>
      <c r="V386" s="277"/>
      <c r="W386" s="277"/>
      <c r="X386" s="277"/>
      <c r="Y386" s="277"/>
    </row>
    <row r="387" spans="1:25" s="39" customFormat="1" ht="12.75">
      <c r="A387" s="41"/>
      <c r="B387" s="41"/>
      <c r="C387" s="41"/>
      <c r="D387" s="41"/>
      <c r="E387" s="40"/>
      <c r="F387" s="182"/>
      <c r="G387" s="185"/>
      <c r="H387" s="188"/>
      <c r="T387" s="277"/>
      <c r="U387" s="277"/>
      <c r="V387" s="277"/>
      <c r="W387" s="277"/>
      <c r="X387" s="277"/>
      <c r="Y387" s="277"/>
    </row>
    <row r="388" spans="1:25" s="39" customFormat="1" ht="12.75">
      <c r="A388" s="41"/>
      <c r="B388" s="41"/>
      <c r="C388" s="41"/>
      <c r="D388" s="41"/>
      <c r="E388" s="40"/>
      <c r="F388" s="182"/>
      <c r="G388" s="185"/>
      <c r="H388" s="188"/>
      <c r="T388" s="277"/>
      <c r="U388" s="277"/>
      <c r="V388" s="277"/>
      <c r="W388" s="277"/>
      <c r="X388" s="277"/>
      <c r="Y388" s="277"/>
    </row>
    <row r="389" spans="1:25" s="39" customFormat="1" ht="12.75">
      <c r="A389" s="41"/>
      <c r="B389" s="41"/>
      <c r="C389" s="41"/>
      <c r="D389" s="41"/>
      <c r="E389" s="40"/>
      <c r="F389" s="182"/>
      <c r="G389" s="185"/>
      <c r="H389" s="188"/>
      <c r="T389" s="277"/>
      <c r="U389" s="277"/>
      <c r="V389" s="277"/>
      <c r="W389" s="277"/>
      <c r="X389" s="277"/>
      <c r="Y389" s="277"/>
    </row>
    <row r="390" spans="1:25" s="39" customFormat="1" ht="12.75">
      <c r="A390" s="41"/>
      <c r="B390" s="41"/>
      <c r="C390" s="41"/>
      <c r="D390" s="41"/>
      <c r="E390" s="40"/>
      <c r="F390" s="182"/>
      <c r="G390" s="185"/>
      <c r="H390" s="188"/>
      <c r="T390" s="277"/>
      <c r="U390" s="277"/>
      <c r="V390" s="277"/>
      <c r="W390" s="277"/>
      <c r="X390" s="277"/>
      <c r="Y390" s="277"/>
    </row>
    <row r="391" spans="1:25" s="39" customFormat="1" ht="12.75">
      <c r="A391" s="41"/>
      <c r="B391" s="41"/>
      <c r="C391" s="41"/>
      <c r="D391" s="41"/>
      <c r="E391" s="40"/>
      <c r="F391" s="182"/>
      <c r="G391" s="185"/>
      <c r="H391" s="188"/>
      <c r="T391" s="277"/>
      <c r="U391" s="277"/>
      <c r="V391" s="277"/>
      <c r="W391" s="277"/>
      <c r="X391" s="277"/>
      <c r="Y391" s="277"/>
    </row>
    <row r="392" spans="1:25" s="39" customFormat="1" ht="12.75">
      <c r="A392" s="41"/>
      <c r="B392" s="41"/>
      <c r="C392" s="41"/>
      <c r="D392" s="41"/>
      <c r="E392" s="40"/>
      <c r="F392" s="182"/>
      <c r="G392" s="185"/>
      <c r="H392" s="188"/>
      <c r="T392" s="277"/>
      <c r="U392" s="277"/>
      <c r="V392" s="277"/>
      <c r="W392" s="277"/>
      <c r="X392" s="277"/>
      <c r="Y392" s="277"/>
    </row>
    <row r="393" spans="1:25" s="39" customFormat="1" ht="12.75">
      <c r="A393" s="41"/>
      <c r="B393" s="41"/>
      <c r="C393" s="41"/>
      <c r="D393" s="41"/>
      <c r="E393" s="40"/>
      <c r="F393" s="182"/>
      <c r="G393" s="185"/>
      <c r="H393" s="188"/>
      <c r="T393" s="277"/>
      <c r="U393" s="277"/>
      <c r="V393" s="277"/>
      <c r="W393" s="277"/>
      <c r="X393" s="277"/>
      <c r="Y393" s="277"/>
    </row>
    <row r="394" spans="1:25" s="39" customFormat="1" ht="12.75">
      <c r="A394" s="41"/>
      <c r="B394" s="41"/>
      <c r="C394" s="41"/>
      <c r="D394" s="41"/>
      <c r="E394" s="40"/>
      <c r="F394" s="182"/>
      <c r="G394" s="185"/>
      <c r="H394" s="188"/>
      <c r="T394" s="277"/>
      <c r="U394" s="277"/>
      <c r="V394" s="277"/>
      <c r="W394" s="277"/>
      <c r="X394" s="277"/>
      <c r="Y394" s="277"/>
    </row>
    <row r="395" spans="1:25" s="39" customFormat="1" ht="12.75">
      <c r="A395" s="41"/>
      <c r="B395" s="41"/>
      <c r="C395" s="41"/>
      <c r="D395" s="41"/>
      <c r="E395" s="40"/>
      <c r="F395" s="182"/>
      <c r="G395" s="185"/>
      <c r="H395" s="188"/>
      <c r="T395" s="277"/>
      <c r="U395" s="277"/>
      <c r="V395" s="277"/>
      <c r="W395" s="277"/>
      <c r="X395" s="277"/>
      <c r="Y395" s="277"/>
    </row>
    <row r="396" spans="1:25" s="39" customFormat="1" ht="12.75">
      <c r="A396" s="41"/>
      <c r="B396" s="41"/>
      <c r="C396" s="41"/>
      <c r="D396" s="41"/>
      <c r="E396" s="40"/>
      <c r="F396" s="182"/>
      <c r="G396" s="185"/>
      <c r="H396" s="188"/>
      <c r="T396" s="277"/>
      <c r="U396" s="277"/>
      <c r="V396" s="277"/>
      <c r="W396" s="277"/>
      <c r="X396" s="277"/>
      <c r="Y396" s="277"/>
    </row>
    <row r="397" spans="1:25" s="39" customFormat="1" ht="12.75">
      <c r="A397" s="41"/>
      <c r="B397" s="41"/>
      <c r="C397" s="41"/>
      <c r="D397" s="41"/>
      <c r="E397" s="40"/>
      <c r="F397" s="182"/>
      <c r="G397" s="185"/>
      <c r="H397" s="188"/>
      <c r="T397" s="277"/>
      <c r="U397" s="277"/>
      <c r="V397" s="277"/>
      <c r="W397" s="277"/>
      <c r="X397" s="277"/>
      <c r="Y397" s="277"/>
    </row>
    <row r="398" spans="1:25" s="39" customFormat="1" ht="12.75">
      <c r="A398" s="41"/>
      <c r="B398" s="41"/>
      <c r="C398" s="41"/>
      <c r="D398" s="41"/>
      <c r="E398" s="40"/>
      <c r="F398" s="182"/>
      <c r="G398" s="185"/>
      <c r="H398" s="188"/>
      <c r="T398" s="277"/>
      <c r="U398" s="277"/>
      <c r="V398" s="277"/>
      <c r="W398" s="277"/>
      <c r="X398" s="277"/>
      <c r="Y398" s="277"/>
    </row>
    <row r="399" spans="1:25" s="39" customFormat="1" ht="12.75">
      <c r="A399" s="41"/>
      <c r="B399" s="41"/>
      <c r="C399" s="41"/>
      <c r="D399" s="41"/>
      <c r="E399" s="40"/>
      <c r="F399" s="182"/>
      <c r="G399" s="185"/>
      <c r="H399" s="188"/>
      <c r="T399" s="277"/>
      <c r="U399" s="277"/>
      <c r="V399" s="277"/>
      <c r="W399" s="277"/>
      <c r="X399" s="277"/>
      <c r="Y399" s="277"/>
    </row>
    <row r="400" spans="1:25" s="39" customFormat="1" ht="12.75">
      <c r="A400" s="41"/>
      <c r="B400" s="41"/>
      <c r="C400" s="41"/>
      <c r="D400" s="41"/>
      <c r="E400" s="40"/>
      <c r="F400" s="182"/>
      <c r="G400" s="185"/>
      <c r="H400" s="188"/>
      <c r="T400" s="277"/>
      <c r="U400" s="277"/>
      <c r="V400" s="277"/>
      <c r="W400" s="277"/>
      <c r="X400" s="277"/>
      <c r="Y400" s="277"/>
    </row>
    <row r="401" spans="1:25" s="39" customFormat="1" ht="12.75">
      <c r="A401" s="41"/>
      <c r="B401" s="41"/>
      <c r="C401" s="41"/>
      <c r="D401" s="41"/>
      <c r="E401" s="40"/>
      <c r="F401" s="182"/>
      <c r="G401" s="185"/>
      <c r="H401" s="188"/>
      <c r="T401" s="277"/>
      <c r="U401" s="277"/>
      <c r="V401" s="277"/>
      <c r="W401" s="277"/>
      <c r="X401" s="277"/>
      <c r="Y401" s="277"/>
    </row>
    <row r="402" spans="1:25" s="39" customFormat="1" ht="12.75">
      <c r="A402" s="41"/>
      <c r="B402" s="41"/>
      <c r="C402" s="41"/>
      <c r="D402" s="41"/>
      <c r="E402" s="40"/>
      <c r="F402" s="182"/>
      <c r="G402" s="185"/>
      <c r="H402" s="188"/>
      <c r="T402" s="277"/>
      <c r="U402" s="277"/>
      <c r="V402" s="277"/>
      <c r="W402" s="277"/>
      <c r="X402" s="277"/>
      <c r="Y402" s="277"/>
    </row>
    <row r="403" spans="1:25" s="39" customFormat="1" ht="12.75">
      <c r="A403" s="41"/>
      <c r="B403" s="41"/>
      <c r="C403" s="41"/>
      <c r="D403" s="41"/>
      <c r="E403" s="40"/>
      <c r="F403" s="182"/>
      <c r="G403" s="185"/>
      <c r="H403" s="188"/>
      <c r="T403" s="277"/>
      <c r="U403" s="277"/>
      <c r="V403" s="277"/>
      <c r="W403" s="277"/>
      <c r="X403" s="277"/>
      <c r="Y403" s="277"/>
    </row>
    <row r="404" spans="1:25" s="39" customFormat="1" ht="12.75">
      <c r="A404" s="41"/>
      <c r="B404" s="41"/>
      <c r="C404" s="41"/>
      <c r="D404" s="41"/>
      <c r="E404" s="40"/>
      <c r="F404" s="182"/>
      <c r="G404" s="185"/>
      <c r="H404" s="188"/>
      <c r="T404" s="277"/>
      <c r="U404" s="277"/>
      <c r="V404" s="277"/>
      <c r="W404" s="277"/>
      <c r="X404" s="277"/>
      <c r="Y404" s="277"/>
    </row>
    <row r="405" spans="1:25" s="39" customFormat="1" ht="12.75">
      <c r="A405" s="41"/>
      <c r="B405" s="41"/>
      <c r="C405" s="41"/>
      <c r="D405" s="41"/>
      <c r="E405" s="40"/>
      <c r="F405" s="182"/>
      <c r="G405" s="185"/>
      <c r="H405" s="188"/>
      <c r="T405" s="277"/>
      <c r="U405" s="277"/>
      <c r="V405" s="277"/>
      <c r="W405" s="277"/>
      <c r="X405" s="277"/>
      <c r="Y405" s="277"/>
    </row>
    <row r="406" spans="1:25" s="39" customFormat="1" ht="12.75">
      <c r="A406" s="41"/>
      <c r="B406" s="41"/>
      <c r="C406" s="41"/>
      <c r="D406" s="41"/>
      <c r="E406" s="40"/>
      <c r="F406" s="182"/>
      <c r="G406" s="185"/>
      <c r="H406" s="188"/>
      <c r="T406" s="277"/>
      <c r="U406" s="277"/>
      <c r="V406" s="277"/>
      <c r="W406" s="277"/>
      <c r="X406" s="277"/>
      <c r="Y406" s="277"/>
    </row>
    <row r="407" spans="1:25" s="39" customFormat="1" ht="12.75">
      <c r="A407" s="41"/>
      <c r="B407" s="41"/>
      <c r="C407" s="41"/>
      <c r="D407" s="41"/>
      <c r="E407" s="40"/>
      <c r="F407" s="182"/>
      <c r="G407" s="185"/>
      <c r="H407" s="188"/>
      <c r="T407" s="277"/>
      <c r="U407" s="277"/>
      <c r="V407" s="277"/>
      <c r="W407" s="277"/>
      <c r="X407" s="277"/>
      <c r="Y407" s="277"/>
    </row>
    <row r="408" spans="1:25" s="39" customFormat="1" ht="12.75">
      <c r="A408" s="41"/>
      <c r="B408" s="41"/>
      <c r="C408" s="41"/>
      <c r="D408" s="41"/>
      <c r="E408" s="40"/>
      <c r="F408" s="182"/>
      <c r="G408" s="185"/>
      <c r="H408" s="188"/>
      <c r="T408" s="277"/>
      <c r="U408" s="277"/>
      <c r="V408" s="277"/>
      <c r="W408" s="277"/>
      <c r="X408" s="277"/>
      <c r="Y408" s="277"/>
    </row>
    <row r="409" spans="1:25" s="39" customFormat="1" ht="12.75">
      <c r="A409" s="41"/>
      <c r="B409" s="41"/>
      <c r="C409" s="41"/>
      <c r="D409" s="41"/>
      <c r="E409" s="40"/>
      <c r="F409" s="182"/>
      <c r="G409" s="185"/>
      <c r="H409" s="188"/>
      <c r="T409" s="277"/>
      <c r="U409" s="277"/>
      <c r="V409" s="277"/>
      <c r="W409" s="277"/>
      <c r="X409" s="277"/>
      <c r="Y409" s="277"/>
    </row>
    <row r="410" spans="1:25" s="39" customFormat="1" ht="12.75">
      <c r="A410" s="41"/>
      <c r="B410" s="41"/>
      <c r="C410" s="41"/>
      <c r="D410" s="41"/>
      <c r="E410" s="40"/>
      <c r="F410" s="182"/>
      <c r="G410" s="185"/>
      <c r="H410" s="188"/>
      <c r="T410" s="277"/>
      <c r="U410" s="277"/>
      <c r="V410" s="277"/>
      <c r="W410" s="277"/>
      <c r="X410" s="277"/>
      <c r="Y410" s="277"/>
    </row>
    <row r="411" spans="1:25" s="39" customFormat="1" ht="12.75">
      <c r="A411" s="41"/>
      <c r="B411" s="41"/>
      <c r="C411" s="41"/>
      <c r="D411" s="41"/>
      <c r="E411" s="40"/>
      <c r="F411" s="182"/>
      <c r="G411" s="185"/>
      <c r="H411" s="188"/>
      <c r="T411" s="277"/>
      <c r="U411" s="277"/>
      <c r="V411" s="277"/>
      <c r="W411" s="277"/>
      <c r="X411" s="277"/>
      <c r="Y411" s="277"/>
    </row>
    <row r="412" spans="1:25" s="39" customFormat="1" ht="12.75">
      <c r="A412" s="41"/>
      <c r="B412" s="41"/>
      <c r="C412" s="41"/>
      <c r="D412" s="41"/>
      <c r="E412" s="40"/>
      <c r="F412" s="182"/>
      <c r="G412" s="185"/>
      <c r="H412" s="188"/>
      <c r="T412" s="277"/>
      <c r="U412" s="277"/>
      <c r="V412" s="277"/>
      <c r="W412" s="277"/>
      <c r="X412" s="277"/>
      <c r="Y412" s="277"/>
    </row>
    <row r="413" spans="1:25" s="39" customFormat="1" ht="12.75">
      <c r="A413" s="41"/>
      <c r="B413" s="41"/>
      <c r="C413" s="41"/>
      <c r="D413" s="41"/>
      <c r="E413" s="40"/>
      <c r="F413" s="182"/>
      <c r="G413" s="185"/>
      <c r="H413" s="188"/>
      <c r="T413" s="277"/>
      <c r="U413" s="277"/>
      <c r="V413" s="277"/>
      <c r="W413" s="277"/>
      <c r="X413" s="277"/>
      <c r="Y413" s="277"/>
    </row>
    <row r="414" spans="1:25" s="39" customFormat="1" ht="12.75">
      <c r="A414" s="41"/>
      <c r="B414" s="41"/>
      <c r="C414" s="41"/>
      <c r="D414" s="41"/>
      <c r="E414" s="40"/>
      <c r="F414" s="182"/>
      <c r="G414" s="185"/>
      <c r="H414" s="188"/>
      <c r="T414" s="277"/>
      <c r="U414" s="277"/>
      <c r="V414" s="277"/>
      <c r="W414" s="277"/>
      <c r="X414" s="277"/>
      <c r="Y414" s="277"/>
    </row>
    <row r="415" spans="1:25" s="39" customFormat="1" ht="12.75">
      <c r="A415" s="41"/>
      <c r="B415" s="41"/>
      <c r="C415" s="41"/>
      <c r="D415" s="41"/>
      <c r="E415" s="40"/>
      <c r="F415" s="182"/>
      <c r="G415" s="185"/>
      <c r="H415" s="188"/>
      <c r="T415" s="277"/>
      <c r="U415" s="277"/>
      <c r="V415" s="277"/>
      <c r="W415" s="277"/>
      <c r="X415" s="277"/>
      <c r="Y415" s="277"/>
    </row>
    <row r="416" spans="1:25" s="39" customFormat="1" ht="12.75">
      <c r="A416" s="41"/>
      <c r="B416" s="41"/>
      <c r="C416" s="41"/>
      <c r="D416" s="41"/>
      <c r="E416" s="40"/>
      <c r="F416" s="182"/>
      <c r="G416" s="185"/>
      <c r="H416" s="188"/>
      <c r="T416" s="277"/>
      <c r="U416" s="277"/>
      <c r="V416" s="277"/>
      <c r="W416" s="277"/>
      <c r="X416" s="277"/>
      <c r="Y416" s="277"/>
    </row>
    <row r="417" spans="1:25" s="39" customFormat="1" ht="12.75">
      <c r="A417" s="41"/>
      <c r="B417" s="41"/>
      <c r="C417" s="41"/>
      <c r="D417" s="41"/>
      <c r="E417" s="40"/>
      <c r="F417" s="182"/>
      <c r="G417" s="185"/>
      <c r="H417" s="188"/>
      <c r="T417" s="277"/>
      <c r="U417" s="277"/>
      <c r="V417" s="277"/>
      <c r="W417" s="277"/>
      <c r="X417" s="277"/>
      <c r="Y417" s="277"/>
    </row>
    <row r="418" spans="1:25" s="39" customFormat="1" ht="12.75">
      <c r="A418" s="41"/>
      <c r="B418" s="41"/>
      <c r="C418" s="41"/>
      <c r="D418" s="41"/>
      <c r="E418" s="40"/>
      <c r="F418" s="182"/>
      <c r="G418" s="185"/>
      <c r="H418" s="188"/>
      <c r="T418" s="277"/>
      <c r="U418" s="277"/>
      <c r="V418" s="277"/>
      <c r="W418" s="277"/>
      <c r="X418" s="277"/>
      <c r="Y418" s="277"/>
    </row>
    <row r="419" spans="1:25" s="39" customFormat="1" ht="12.75">
      <c r="A419" s="41"/>
      <c r="B419" s="41"/>
      <c r="C419" s="41"/>
      <c r="D419" s="41"/>
      <c r="E419" s="40"/>
      <c r="F419" s="182"/>
      <c r="G419" s="185"/>
      <c r="H419" s="188"/>
      <c r="T419" s="277"/>
      <c r="U419" s="277"/>
      <c r="V419" s="277"/>
      <c r="W419" s="277"/>
      <c r="X419" s="277"/>
      <c r="Y419" s="277"/>
    </row>
    <row r="420" spans="1:25" s="39" customFormat="1" ht="12.75">
      <c r="A420" s="41"/>
      <c r="B420" s="41"/>
      <c r="C420" s="41"/>
      <c r="D420" s="41"/>
      <c r="E420" s="40"/>
      <c r="F420" s="182"/>
      <c r="G420" s="185"/>
      <c r="H420" s="188"/>
      <c r="T420" s="277"/>
      <c r="U420" s="277"/>
      <c r="V420" s="277"/>
      <c r="W420" s="277"/>
      <c r="X420" s="277"/>
      <c r="Y420" s="277"/>
    </row>
    <row r="421" spans="1:25" s="39" customFormat="1" ht="12.75">
      <c r="A421" s="41"/>
      <c r="B421" s="41"/>
      <c r="C421" s="41"/>
      <c r="D421" s="41"/>
      <c r="E421" s="40"/>
      <c r="F421" s="182"/>
      <c r="G421" s="185"/>
      <c r="H421" s="188"/>
      <c r="T421" s="277"/>
      <c r="U421" s="277"/>
      <c r="V421" s="277"/>
      <c r="W421" s="277"/>
      <c r="X421" s="277"/>
      <c r="Y421" s="277"/>
    </row>
    <row r="422" spans="1:25" s="39" customFormat="1" ht="12.75">
      <c r="A422" s="41"/>
      <c r="B422" s="41"/>
      <c r="C422" s="41"/>
      <c r="D422" s="41"/>
      <c r="E422" s="40"/>
      <c r="F422" s="182"/>
      <c r="G422" s="185"/>
      <c r="H422" s="188"/>
      <c r="T422" s="277"/>
      <c r="U422" s="277"/>
      <c r="V422" s="277"/>
      <c r="W422" s="277"/>
      <c r="X422" s="277"/>
      <c r="Y422" s="277"/>
    </row>
    <row r="423" spans="1:25" s="39" customFormat="1" ht="12.75">
      <c r="A423" s="41"/>
      <c r="B423" s="41"/>
      <c r="C423" s="41"/>
      <c r="D423" s="41"/>
      <c r="E423" s="40"/>
      <c r="F423" s="182"/>
      <c r="G423" s="185"/>
      <c r="H423" s="188"/>
      <c r="T423" s="277"/>
      <c r="U423" s="277"/>
      <c r="V423" s="277"/>
      <c r="W423" s="277"/>
      <c r="X423" s="277"/>
      <c r="Y423" s="277"/>
    </row>
    <row r="424" spans="1:25" s="39" customFormat="1" ht="12.75">
      <c r="A424" s="41"/>
      <c r="B424" s="41"/>
      <c r="C424" s="41"/>
      <c r="D424" s="41"/>
      <c r="E424" s="40"/>
      <c r="F424" s="182"/>
      <c r="G424" s="185"/>
      <c r="H424" s="188"/>
      <c r="T424" s="277"/>
      <c r="U424" s="277"/>
      <c r="V424" s="277"/>
      <c r="W424" s="277"/>
      <c r="X424" s="277"/>
      <c r="Y424" s="277"/>
    </row>
    <row r="425" spans="1:25" s="39" customFormat="1" ht="12.75">
      <c r="A425" s="41"/>
      <c r="B425" s="41"/>
      <c r="C425" s="41"/>
      <c r="D425" s="41"/>
      <c r="E425" s="40"/>
      <c r="F425" s="182"/>
      <c r="G425" s="185"/>
      <c r="H425" s="188"/>
      <c r="T425" s="277"/>
      <c r="U425" s="277"/>
      <c r="V425" s="277"/>
      <c r="W425" s="277"/>
      <c r="X425" s="277"/>
      <c r="Y425" s="277"/>
    </row>
    <row r="426" spans="1:25" s="39" customFormat="1" ht="12.75">
      <c r="A426" s="41"/>
      <c r="B426" s="41"/>
      <c r="C426" s="41"/>
      <c r="D426" s="41"/>
      <c r="E426" s="40"/>
      <c r="F426" s="182"/>
      <c r="G426" s="185"/>
      <c r="H426" s="188"/>
      <c r="T426" s="277"/>
      <c r="U426" s="277"/>
      <c r="V426" s="277"/>
      <c r="W426" s="277"/>
      <c r="X426" s="277"/>
      <c r="Y426" s="277"/>
    </row>
    <row r="427" spans="1:25" s="39" customFormat="1" ht="12.75">
      <c r="A427" s="41"/>
      <c r="B427" s="41"/>
      <c r="C427" s="41"/>
      <c r="D427" s="41"/>
      <c r="E427" s="40"/>
      <c r="F427" s="182"/>
      <c r="G427" s="185"/>
      <c r="H427" s="188"/>
      <c r="T427" s="277"/>
      <c r="U427" s="277"/>
      <c r="V427" s="277"/>
      <c r="W427" s="277"/>
      <c r="X427" s="277"/>
      <c r="Y427" s="277"/>
    </row>
    <row r="428" spans="1:25" s="39" customFormat="1" ht="12.75">
      <c r="A428" s="41"/>
      <c r="B428" s="41"/>
      <c r="C428" s="41"/>
      <c r="D428" s="41"/>
      <c r="E428" s="40"/>
      <c r="F428" s="182"/>
      <c r="G428" s="185"/>
      <c r="H428" s="188"/>
      <c r="T428" s="277"/>
      <c r="U428" s="277"/>
      <c r="V428" s="277"/>
      <c r="W428" s="277"/>
      <c r="X428" s="277"/>
      <c r="Y428" s="277"/>
    </row>
    <row r="429" spans="1:25" s="39" customFormat="1" ht="12.75">
      <c r="A429" s="41"/>
      <c r="B429" s="41"/>
      <c r="C429" s="41"/>
      <c r="D429" s="41"/>
      <c r="E429" s="40"/>
      <c r="F429" s="182"/>
      <c r="G429" s="185"/>
      <c r="H429" s="188"/>
      <c r="T429" s="277"/>
      <c r="U429" s="277"/>
      <c r="V429" s="277"/>
      <c r="W429" s="277"/>
      <c r="X429" s="277"/>
      <c r="Y429" s="277"/>
    </row>
    <row r="430" spans="1:25" s="39" customFormat="1" ht="12.75">
      <c r="A430" s="41"/>
      <c r="B430" s="41"/>
      <c r="C430" s="41"/>
      <c r="D430" s="41"/>
      <c r="E430" s="40"/>
      <c r="F430" s="182"/>
      <c r="G430" s="185"/>
      <c r="H430" s="188"/>
      <c r="T430" s="277"/>
      <c r="U430" s="277"/>
      <c r="V430" s="277"/>
      <c r="W430" s="277"/>
      <c r="X430" s="277"/>
      <c r="Y430" s="277"/>
    </row>
    <row r="431" spans="1:25" s="39" customFormat="1" ht="12.75">
      <c r="A431" s="41"/>
      <c r="B431" s="41"/>
      <c r="C431" s="41"/>
      <c r="D431" s="41"/>
      <c r="E431" s="40"/>
      <c r="F431" s="182"/>
      <c r="G431" s="185"/>
      <c r="H431" s="188"/>
      <c r="T431" s="277"/>
      <c r="U431" s="277"/>
      <c r="V431" s="277"/>
      <c r="W431" s="277"/>
      <c r="X431" s="277"/>
      <c r="Y431" s="277"/>
    </row>
    <row r="432" spans="1:25" s="39" customFormat="1" ht="12.75">
      <c r="A432" s="41"/>
      <c r="B432" s="41"/>
      <c r="C432" s="41"/>
      <c r="D432" s="41"/>
      <c r="E432" s="40"/>
      <c r="F432" s="182"/>
      <c r="G432" s="185"/>
      <c r="H432" s="188"/>
      <c r="T432" s="277"/>
      <c r="U432" s="277"/>
      <c r="V432" s="277"/>
      <c r="W432" s="277"/>
      <c r="X432" s="277"/>
      <c r="Y432" s="277"/>
    </row>
    <row r="433" spans="1:25" s="39" customFormat="1" ht="12.75">
      <c r="A433" s="41"/>
      <c r="B433" s="41"/>
      <c r="C433" s="41"/>
      <c r="D433" s="41"/>
      <c r="E433" s="40"/>
      <c r="F433" s="182"/>
      <c r="G433" s="185"/>
      <c r="H433" s="188"/>
      <c r="T433" s="277"/>
      <c r="U433" s="277"/>
      <c r="V433" s="277"/>
      <c r="W433" s="277"/>
      <c r="X433" s="277"/>
      <c r="Y433" s="277"/>
    </row>
    <row r="434" spans="1:25" s="39" customFormat="1" ht="12.75">
      <c r="A434" s="41"/>
      <c r="B434" s="41"/>
      <c r="C434" s="41"/>
      <c r="D434" s="41"/>
      <c r="E434" s="40"/>
      <c r="F434" s="182"/>
      <c r="G434" s="185"/>
      <c r="H434" s="188"/>
      <c r="T434" s="277"/>
      <c r="U434" s="277"/>
      <c r="V434" s="277"/>
      <c r="W434" s="277"/>
      <c r="X434" s="277"/>
      <c r="Y434" s="277"/>
    </row>
    <row r="435" spans="1:25" s="39" customFormat="1" ht="12.75">
      <c r="A435" s="41"/>
      <c r="B435" s="41"/>
      <c r="C435" s="41"/>
      <c r="D435" s="41"/>
      <c r="E435" s="40"/>
      <c r="F435" s="182"/>
      <c r="G435" s="185"/>
      <c r="H435" s="188"/>
      <c r="T435" s="277"/>
      <c r="U435" s="277"/>
      <c r="V435" s="277"/>
      <c r="W435" s="277"/>
      <c r="X435" s="277"/>
      <c r="Y435" s="277"/>
    </row>
    <row r="436" spans="1:25" s="39" customFormat="1" ht="12.75">
      <c r="A436" s="41"/>
      <c r="B436" s="41"/>
      <c r="C436" s="41"/>
      <c r="D436" s="41"/>
      <c r="E436" s="40"/>
      <c r="F436" s="182"/>
      <c r="G436" s="185"/>
      <c r="H436" s="188"/>
      <c r="T436" s="277"/>
      <c r="U436" s="277"/>
      <c r="V436" s="277"/>
      <c r="W436" s="277"/>
      <c r="X436" s="277"/>
      <c r="Y436" s="277"/>
    </row>
    <row r="437" spans="1:25" s="39" customFormat="1" ht="12.75">
      <c r="A437" s="41"/>
      <c r="B437" s="41"/>
      <c r="C437" s="41"/>
      <c r="D437" s="41"/>
      <c r="E437" s="40"/>
      <c r="F437" s="182"/>
      <c r="G437" s="185"/>
      <c r="H437" s="188"/>
      <c r="T437" s="277"/>
      <c r="U437" s="277"/>
      <c r="V437" s="277"/>
      <c r="W437" s="277"/>
      <c r="X437" s="277"/>
      <c r="Y437" s="277"/>
    </row>
    <row r="438" spans="1:25" s="39" customFormat="1" ht="12.75">
      <c r="A438" s="41"/>
      <c r="B438" s="41"/>
      <c r="C438" s="41"/>
      <c r="D438" s="41"/>
      <c r="E438" s="40"/>
      <c r="F438" s="182"/>
      <c r="G438" s="185"/>
      <c r="H438" s="188"/>
      <c r="T438" s="277"/>
      <c r="U438" s="277"/>
      <c r="V438" s="277"/>
      <c r="W438" s="277"/>
      <c r="X438" s="277"/>
      <c r="Y438" s="277"/>
    </row>
    <row r="439" spans="1:25" s="39" customFormat="1" ht="12.75">
      <c r="A439" s="41"/>
      <c r="B439" s="41"/>
      <c r="C439" s="41"/>
      <c r="D439" s="41"/>
      <c r="E439" s="40"/>
      <c r="F439" s="182"/>
      <c r="G439" s="185"/>
      <c r="H439" s="188"/>
      <c r="T439" s="277"/>
      <c r="U439" s="277"/>
      <c r="V439" s="277"/>
      <c r="W439" s="277"/>
      <c r="X439" s="277"/>
      <c r="Y439" s="277"/>
    </row>
    <row r="440" spans="1:25" s="39" customFormat="1" ht="12.75">
      <c r="A440" s="41"/>
      <c r="B440" s="41"/>
      <c r="C440" s="41"/>
      <c r="D440" s="41"/>
      <c r="E440" s="40"/>
      <c r="F440" s="182"/>
      <c r="G440" s="185"/>
      <c r="H440" s="188"/>
      <c r="T440" s="277"/>
      <c r="U440" s="277"/>
      <c r="V440" s="277"/>
      <c r="W440" s="277"/>
      <c r="X440" s="277"/>
      <c r="Y440" s="277"/>
    </row>
    <row r="441" spans="1:25" s="39" customFormat="1" ht="12.75">
      <c r="A441" s="41"/>
      <c r="B441" s="41"/>
      <c r="C441" s="41"/>
      <c r="D441" s="41"/>
      <c r="E441" s="40"/>
      <c r="F441" s="182"/>
      <c r="G441" s="185"/>
      <c r="H441" s="188"/>
      <c r="T441" s="277"/>
      <c r="U441" s="277"/>
      <c r="V441" s="277"/>
      <c r="W441" s="277"/>
      <c r="X441" s="277"/>
      <c r="Y441" s="277"/>
    </row>
    <row r="442" spans="1:25" s="39" customFormat="1" ht="12.75">
      <c r="A442" s="41"/>
      <c r="B442" s="41"/>
      <c r="C442" s="41"/>
      <c r="D442" s="41"/>
      <c r="E442" s="40"/>
      <c r="F442" s="182"/>
      <c r="G442" s="185"/>
      <c r="H442" s="188"/>
      <c r="T442" s="277"/>
      <c r="U442" s="277"/>
      <c r="V442" s="277"/>
      <c r="W442" s="277"/>
      <c r="X442" s="277"/>
      <c r="Y442" s="277"/>
    </row>
    <row r="443" spans="1:25" s="39" customFormat="1" ht="12.75">
      <c r="A443" s="41"/>
      <c r="B443" s="41"/>
      <c r="C443" s="41"/>
      <c r="D443" s="41"/>
      <c r="E443" s="40"/>
      <c r="F443" s="182"/>
      <c r="G443" s="185"/>
      <c r="H443" s="188"/>
      <c r="T443" s="277"/>
      <c r="U443" s="277"/>
      <c r="V443" s="277"/>
      <c r="W443" s="277"/>
      <c r="X443" s="277"/>
      <c r="Y443" s="277"/>
    </row>
    <row r="444" spans="1:25" s="39" customFormat="1" ht="12.75">
      <c r="A444" s="41"/>
      <c r="B444" s="41"/>
      <c r="C444" s="41"/>
      <c r="D444" s="41"/>
      <c r="E444" s="40"/>
      <c r="F444" s="182"/>
      <c r="G444" s="185"/>
      <c r="H444" s="188"/>
      <c r="T444" s="277"/>
      <c r="U444" s="277"/>
      <c r="V444" s="277"/>
      <c r="W444" s="277"/>
      <c r="X444" s="277"/>
      <c r="Y444" s="277"/>
    </row>
    <row r="445" spans="1:25" s="39" customFormat="1" ht="12.75">
      <c r="A445" s="41"/>
      <c r="B445" s="41"/>
      <c r="C445" s="41"/>
      <c r="D445" s="41"/>
      <c r="E445" s="40"/>
      <c r="F445" s="182"/>
      <c r="G445" s="185"/>
      <c r="H445" s="188"/>
      <c r="T445" s="277"/>
      <c r="U445" s="277"/>
      <c r="V445" s="277"/>
      <c r="W445" s="277"/>
      <c r="X445" s="277"/>
      <c r="Y445" s="277"/>
    </row>
    <row r="446" spans="1:25" s="39" customFormat="1" ht="12.75">
      <c r="A446" s="41"/>
      <c r="B446" s="41"/>
      <c r="C446" s="41"/>
      <c r="D446" s="41"/>
      <c r="E446" s="40"/>
      <c r="F446" s="182"/>
      <c r="G446" s="185"/>
      <c r="H446" s="188"/>
      <c r="T446" s="277"/>
      <c r="U446" s="277"/>
      <c r="V446" s="277"/>
      <c r="W446" s="277"/>
      <c r="X446" s="277"/>
      <c r="Y446" s="277"/>
    </row>
    <row r="447" spans="1:25" s="39" customFormat="1" ht="12.75">
      <c r="A447" s="41"/>
      <c r="B447" s="41"/>
      <c r="C447" s="41"/>
      <c r="D447" s="41"/>
      <c r="E447" s="40"/>
      <c r="F447" s="182"/>
      <c r="G447" s="185"/>
      <c r="H447" s="188"/>
      <c r="T447" s="277"/>
      <c r="U447" s="277"/>
      <c r="V447" s="277"/>
      <c r="W447" s="277"/>
      <c r="X447" s="277"/>
      <c r="Y447" s="277"/>
    </row>
    <row r="448" spans="1:25" s="39" customFormat="1" ht="12.75">
      <c r="A448" s="41"/>
      <c r="B448" s="41"/>
      <c r="C448" s="41"/>
      <c r="D448" s="41"/>
      <c r="E448" s="40"/>
      <c r="F448" s="182"/>
      <c r="G448" s="185"/>
      <c r="H448" s="188"/>
      <c r="T448" s="277"/>
      <c r="U448" s="277"/>
      <c r="V448" s="277"/>
      <c r="W448" s="277"/>
      <c r="X448" s="277"/>
      <c r="Y448" s="277"/>
    </row>
    <row r="449" spans="1:25" s="39" customFormat="1" ht="12.75">
      <c r="A449" s="41"/>
      <c r="B449" s="41"/>
      <c r="C449" s="41"/>
      <c r="D449" s="41"/>
      <c r="E449" s="40"/>
      <c r="F449" s="182"/>
      <c r="G449" s="185"/>
      <c r="H449" s="188"/>
      <c r="T449" s="277"/>
      <c r="U449" s="277"/>
      <c r="V449" s="277"/>
      <c r="W449" s="277"/>
      <c r="X449" s="277"/>
      <c r="Y449" s="277"/>
    </row>
    <row r="450" spans="1:25" s="39" customFormat="1" ht="12.75">
      <c r="A450" s="41"/>
      <c r="B450" s="41"/>
      <c r="C450" s="41"/>
      <c r="D450" s="41"/>
      <c r="E450" s="40"/>
      <c r="F450" s="182"/>
      <c r="G450" s="185"/>
      <c r="H450" s="188"/>
      <c r="T450" s="277"/>
      <c r="U450" s="277"/>
      <c r="V450" s="277"/>
      <c r="W450" s="277"/>
      <c r="X450" s="277"/>
      <c r="Y450" s="277"/>
    </row>
    <row r="451" spans="1:25" s="39" customFormat="1" ht="12.75">
      <c r="A451" s="41"/>
      <c r="B451" s="41"/>
      <c r="C451" s="41"/>
      <c r="D451" s="41"/>
      <c r="E451" s="40"/>
      <c r="F451" s="182"/>
      <c r="G451" s="185"/>
      <c r="H451" s="188"/>
      <c r="T451" s="277"/>
      <c r="U451" s="277"/>
      <c r="V451" s="277"/>
      <c r="W451" s="277"/>
      <c r="X451" s="277"/>
      <c r="Y451" s="277"/>
    </row>
    <row r="452" spans="1:25" s="39" customFormat="1" ht="12.75">
      <c r="A452" s="41"/>
      <c r="B452" s="41"/>
      <c r="C452" s="41"/>
      <c r="D452" s="41"/>
      <c r="E452" s="40"/>
      <c r="F452" s="182"/>
      <c r="G452" s="185"/>
      <c r="H452" s="188"/>
      <c r="T452" s="277"/>
      <c r="U452" s="277"/>
      <c r="V452" s="277"/>
      <c r="W452" s="277"/>
      <c r="X452" s="277"/>
      <c r="Y452" s="277"/>
    </row>
    <row r="453" spans="1:25" s="39" customFormat="1" ht="12.75">
      <c r="A453" s="41"/>
      <c r="B453" s="41"/>
      <c r="C453" s="41"/>
      <c r="D453" s="41"/>
      <c r="E453" s="40"/>
      <c r="F453" s="182"/>
      <c r="G453" s="185"/>
      <c r="H453" s="188"/>
      <c r="T453" s="277"/>
      <c r="U453" s="277"/>
      <c r="V453" s="277"/>
      <c r="W453" s="277"/>
      <c r="X453" s="277"/>
      <c r="Y453" s="277"/>
    </row>
    <row r="454" spans="1:25" s="39" customFormat="1" ht="12.75">
      <c r="A454" s="41"/>
      <c r="B454" s="41"/>
      <c r="C454" s="41"/>
      <c r="D454" s="41"/>
      <c r="E454" s="40"/>
      <c r="F454" s="182"/>
      <c r="G454" s="185"/>
      <c r="H454" s="188"/>
      <c r="T454" s="277"/>
      <c r="U454" s="277"/>
      <c r="V454" s="277"/>
      <c r="W454" s="277"/>
      <c r="X454" s="277"/>
      <c r="Y454" s="277"/>
    </row>
    <row r="455" spans="1:25" s="39" customFormat="1" ht="12.75">
      <c r="A455" s="41"/>
      <c r="B455" s="41"/>
      <c r="C455" s="41"/>
      <c r="D455" s="41"/>
      <c r="E455" s="40"/>
      <c r="F455" s="182"/>
      <c r="G455" s="185"/>
      <c r="H455" s="188"/>
      <c r="T455" s="277"/>
      <c r="U455" s="277"/>
      <c r="V455" s="277"/>
      <c r="W455" s="277"/>
      <c r="X455" s="277"/>
      <c r="Y455" s="277"/>
    </row>
    <row r="456" spans="1:25" s="39" customFormat="1" ht="12.75">
      <c r="A456" s="41"/>
      <c r="B456" s="41"/>
      <c r="C456" s="41"/>
      <c r="D456" s="41"/>
      <c r="E456" s="40"/>
      <c r="F456" s="182"/>
      <c r="G456" s="185"/>
      <c r="H456" s="188"/>
      <c r="T456" s="277"/>
      <c r="U456" s="277"/>
      <c r="V456" s="277"/>
      <c r="W456" s="277"/>
      <c r="X456" s="277"/>
      <c r="Y456" s="277"/>
    </row>
    <row r="457" spans="1:25" s="39" customFormat="1" ht="12.75">
      <c r="A457" s="41"/>
      <c r="B457" s="41"/>
      <c r="C457" s="41"/>
      <c r="D457" s="41"/>
      <c r="E457" s="40"/>
      <c r="F457" s="182"/>
      <c r="G457" s="185"/>
      <c r="H457" s="188"/>
      <c r="T457" s="277"/>
      <c r="U457" s="277"/>
      <c r="V457" s="277"/>
      <c r="W457" s="277"/>
      <c r="X457" s="277"/>
      <c r="Y457" s="277"/>
    </row>
    <row r="458" spans="1:25" s="39" customFormat="1" ht="12.75">
      <c r="A458" s="41"/>
      <c r="B458" s="41"/>
      <c r="C458" s="41"/>
      <c r="D458" s="41"/>
      <c r="E458" s="40"/>
      <c r="F458" s="182"/>
      <c r="G458" s="185"/>
      <c r="H458" s="188"/>
      <c r="T458" s="277"/>
      <c r="U458" s="277"/>
      <c r="V458" s="277"/>
      <c r="W458" s="277"/>
      <c r="X458" s="277"/>
      <c r="Y458" s="277"/>
    </row>
    <row r="459" spans="1:25" s="39" customFormat="1" ht="12.75">
      <c r="A459" s="41"/>
      <c r="B459" s="41"/>
      <c r="C459" s="41"/>
      <c r="D459" s="41"/>
      <c r="E459" s="40"/>
      <c r="F459" s="182"/>
      <c r="G459" s="185"/>
      <c r="H459" s="188"/>
      <c r="T459" s="277"/>
      <c r="U459" s="277"/>
      <c r="V459" s="277"/>
      <c r="W459" s="277"/>
      <c r="X459" s="277"/>
      <c r="Y459" s="277"/>
    </row>
    <row r="460" spans="1:25" s="39" customFormat="1" ht="12.75">
      <c r="A460" s="41"/>
      <c r="B460" s="41"/>
      <c r="C460" s="41"/>
      <c r="D460" s="41"/>
      <c r="E460" s="40"/>
      <c r="F460" s="182"/>
      <c r="G460" s="185"/>
      <c r="H460" s="188"/>
      <c r="T460" s="277"/>
      <c r="U460" s="277"/>
      <c r="V460" s="277"/>
      <c r="W460" s="277"/>
      <c r="X460" s="277"/>
      <c r="Y460" s="277"/>
    </row>
    <row r="461" spans="1:25" s="39" customFormat="1" ht="12.75">
      <c r="A461" s="41"/>
      <c r="B461" s="41"/>
      <c r="C461" s="41"/>
      <c r="D461" s="41"/>
      <c r="E461" s="40"/>
      <c r="F461" s="182"/>
      <c r="G461" s="185"/>
      <c r="H461" s="188"/>
      <c r="T461" s="277"/>
      <c r="U461" s="277"/>
      <c r="V461" s="277"/>
      <c r="W461" s="277"/>
      <c r="X461" s="277"/>
      <c r="Y461" s="277"/>
    </row>
    <row r="462" spans="1:25" s="39" customFormat="1" ht="12.75">
      <c r="A462" s="41"/>
      <c r="B462" s="41"/>
      <c r="C462" s="41"/>
      <c r="D462" s="41"/>
      <c r="E462" s="40"/>
      <c r="F462" s="182"/>
      <c r="G462" s="185"/>
      <c r="H462" s="188"/>
      <c r="T462" s="277"/>
      <c r="U462" s="277"/>
      <c r="V462" s="277"/>
      <c r="W462" s="277"/>
      <c r="X462" s="277"/>
      <c r="Y462" s="277"/>
    </row>
    <row r="463" spans="1:25" s="39" customFormat="1" ht="12.75">
      <c r="A463" s="41"/>
      <c r="B463" s="41"/>
      <c r="C463" s="41"/>
      <c r="D463" s="41"/>
      <c r="E463" s="40"/>
      <c r="F463" s="182"/>
      <c r="G463" s="185"/>
      <c r="H463" s="188"/>
      <c r="T463" s="277"/>
      <c r="U463" s="277"/>
      <c r="V463" s="277"/>
      <c r="W463" s="277"/>
      <c r="X463" s="277"/>
      <c r="Y463" s="277"/>
    </row>
    <row r="464" spans="1:25" s="39" customFormat="1" ht="12.75">
      <c r="A464" s="41"/>
      <c r="B464" s="41"/>
      <c r="C464" s="41"/>
      <c r="D464" s="41"/>
      <c r="E464" s="40"/>
      <c r="F464" s="182"/>
      <c r="G464" s="185"/>
      <c r="H464" s="188"/>
      <c r="T464" s="277"/>
      <c r="U464" s="277"/>
      <c r="V464" s="277"/>
      <c r="W464" s="277"/>
      <c r="X464" s="277"/>
      <c r="Y464" s="277"/>
    </row>
    <row r="465" spans="1:25" s="39" customFormat="1" ht="12.75">
      <c r="A465" s="41"/>
      <c r="B465" s="41"/>
      <c r="C465" s="41"/>
      <c r="D465" s="41"/>
      <c r="E465" s="40"/>
      <c r="F465" s="182"/>
      <c r="G465" s="185"/>
      <c r="H465" s="188"/>
      <c r="T465" s="277"/>
      <c r="U465" s="277"/>
      <c r="V465" s="277"/>
      <c r="W465" s="277"/>
      <c r="X465" s="277"/>
      <c r="Y465" s="277"/>
    </row>
    <row r="466" spans="1:25" s="39" customFormat="1" ht="12.75">
      <c r="A466" s="41"/>
      <c r="B466" s="41"/>
      <c r="C466" s="41"/>
      <c r="D466" s="41"/>
      <c r="E466" s="40"/>
      <c r="F466" s="182"/>
      <c r="G466" s="185"/>
      <c r="H466" s="188"/>
      <c r="T466" s="277"/>
      <c r="U466" s="277"/>
      <c r="V466" s="277"/>
      <c r="W466" s="277"/>
      <c r="X466" s="277"/>
      <c r="Y466" s="277"/>
    </row>
    <row r="467" spans="1:25" s="39" customFormat="1" ht="12.75">
      <c r="A467" s="41"/>
      <c r="B467" s="41"/>
      <c r="C467" s="41"/>
      <c r="D467" s="41"/>
      <c r="E467" s="40"/>
      <c r="F467" s="182"/>
      <c r="G467" s="185"/>
      <c r="H467" s="188"/>
      <c r="T467" s="277"/>
      <c r="U467" s="277"/>
      <c r="V467" s="277"/>
      <c r="W467" s="277"/>
      <c r="X467" s="277"/>
      <c r="Y467" s="277"/>
    </row>
    <row r="468" spans="1:25" s="39" customFormat="1" ht="12.75">
      <c r="A468" s="41"/>
      <c r="B468" s="41"/>
      <c r="C468" s="41"/>
      <c r="D468" s="41"/>
      <c r="E468" s="40"/>
      <c r="F468" s="182"/>
      <c r="G468" s="185"/>
      <c r="H468" s="188"/>
      <c r="T468" s="277"/>
      <c r="U468" s="277"/>
      <c r="V468" s="277"/>
      <c r="W468" s="277"/>
      <c r="X468" s="277"/>
      <c r="Y468" s="277"/>
    </row>
    <row r="469" spans="1:25" s="39" customFormat="1" ht="12.75">
      <c r="A469" s="41"/>
      <c r="B469" s="41"/>
      <c r="C469" s="41"/>
      <c r="D469" s="41"/>
      <c r="E469" s="40"/>
      <c r="F469" s="182"/>
      <c r="G469" s="185"/>
      <c r="H469" s="188"/>
      <c r="T469" s="277"/>
      <c r="U469" s="277"/>
      <c r="V469" s="277"/>
      <c r="W469" s="277"/>
      <c r="X469" s="277"/>
      <c r="Y469" s="277"/>
    </row>
    <row r="470" spans="1:25" s="39" customFormat="1" ht="12.75">
      <c r="A470" s="41"/>
      <c r="B470" s="41"/>
      <c r="C470" s="41"/>
      <c r="D470" s="41"/>
      <c r="E470" s="40"/>
      <c r="F470" s="182"/>
      <c r="G470" s="185"/>
      <c r="H470" s="188"/>
      <c r="T470" s="277"/>
      <c r="U470" s="277"/>
      <c r="V470" s="277"/>
      <c r="W470" s="277"/>
      <c r="X470" s="277"/>
      <c r="Y470" s="277"/>
    </row>
    <row r="471" spans="1:25" s="39" customFormat="1" ht="12.75">
      <c r="A471" s="41"/>
      <c r="B471" s="41"/>
      <c r="C471" s="41"/>
      <c r="D471" s="41"/>
      <c r="E471" s="40"/>
      <c r="F471" s="182"/>
      <c r="G471" s="185"/>
      <c r="H471" s="188"/>
      <c r="T471" s="277"/>
      <c r="U471" s="277"/>
      <c r="V471" s="277"/>
      <c r="W471" s="277"/>
      <c r="X471" s="277"/>
      <c r="Y471" s="277"/>
    </row>
    <row r="472" spans="1:25" s="39" customFormat="1" ht="12.75">
      <c r="A472" s="41"/>
      <c r="B472" s="41"/>
      <c r="C472" s="41"/>
      <c r="D472" s="41"/>
      <c r="E472" s="40"/>
      <c r="F472" s="182"/>
      <c r="G472" s="185"/>
      <c r="H472" s="188"/>
      <c r="T472" s="277"/>
      <c r="U472" s="277"/>
      <c r="V472" s="277"/>
      <c r="W472" s="277"/>
      <c r="X472" s="277"/>
      <c r="Y472" s="277"/>
    </row>
    <row r="473" spans="1:25" s="39" customFormat="1" ht="12.75">
      <c r="A473" s="41"/>
      <c r="B473" s="41"/>
      <c r="C473" s="41"/>
      <c r="D473" s="41"/>
      <c r="E473" s="40"/>
      <c r="F473" s="182"/>
      <c r="G473" s="185"/>
      <c r="H473" s="188"/>
      <c r="T473" s="277"/>
      <c r="U473" s="277"/>
      <c r="V473" s="277"/>
      <c r="W473" s="277"/>
      <c r="X473" s="277"/>
      <c r="Y473" s="277"/>
    </row>
    <row r="474" spans="1:25" s="39" customFormat="1" ht="12.75">
      <c r="A474" s="41"/>
      <c r="B474" s="41"/>
      <c r="C474" s="41"/>
      <c r="D474" s="41"/>
      <c r="E474" s="40"/>
      <c r="F474" s="182"/>
      <c r="G474" s="185"/>
      <c r="H474" s="188"/>
      <c r="T474" s="277"/>
      <c r="U474" s="277"/>
      <c r="V474" s="277"/>
      <c r="W474" s="277"/>
      <c r="X474" s="277"/>
      <c r="Y474" s="277"/>
    </row>
    <row r="475" spans="1:25" s="39" customFormat="1" ht="12.75">
      <c r="A475" s="41"/>
      <c r="B475" s="41"/>
      <c r="C475" s="41"/>
      <c r="D475" s="41"/>
      <c r="E475" s="40"/>
      <c r="F475" s="182"/>
      <c r="G475" s="185"/>
      <c r="H475" s="188"/>
      <c r="T475" s="277"/>
      <c r="U475" s="277"/>
      <c r="V475" s="277"/>
      <c r="W475" s="277"/>
      <c r="X475" s="277"/>
      <c r="Y475" s="277"/>
    </row>
    <row r="476" spans="1:25" s="39" customFormat="1" ht="12.75">
      <c r="A476" s="41"/>
      <c r="B476" s="41"/>
      <c r="C476" s="41"/>
      <c r="D476" s="41"/>
      <c r="E476" s="40"/>
      <c r="F476" s="182"/>
      <c r="G476" s="185"/>
      <c r="H476" s="188"/>
      <c r="T476" s="277"/>
      <c r="U476" s="277"/>
      <c r="V476" s="277"/>
      <c r="W476" s="277"/>
      <c r="X476" s="277"/>
      <c r="Y476" s="277"/>
    </row>
    <row r="477" spans="1:25" s="39" customFormat="1" ht="12.75">
      <c r="A477" s="41"/>
      <c r="B477" s="41"/>
      <c r="C477" s="41"/>
      <c r="D477" s="41"/>
      <c r="E477" s="40"/>
      <c r="F477" s="182"/>
      <c r="G477" s="185"/>
      <c r="H477" s="188"/>
      <c r="T477" s="277"/>
      <c r="U477" s="277"/>
      <c r="V477" s="277"/>
      <c r="W477" s="277"/>
      <c r="X477" s="277"/>
      <c r="Y477" s="277"/>
    </row>
    <row r="478" spans="1:25" s="39" customFormat="1" ht="12.75">
      <c r="A478" s="41"/>
      <c r="B478" s="41"/>
      <c r="C478" s="41"/>
      <c r="D478" s="41"/>
      <c r="E478" s="40"/>
      <c r="F478" s="182"/>
      <c r="G478" s="185"/>
      <c r="H478" s="188"/>
      <c r="T478" s="277"/>
      <c r="U478" s="277"/>
      <c r="V478" s="277"/>
      <c r="W478" s="277"/>
      <c r="X478" s="277"/>
      <c r="Y478" s="277"/>
    </row>
    <row r="479" spans="1:25" s="39" customFormat="1" ht="12.75">
      <c r="A479" s="41"/>
      <c r="B479" s="41"/>
      <c r="C479" s="41"/>
      <c r="D479" s="41"/>
      <c r="E479" s="40"/>
      <c r="F479" s="182"/>
      <c r="G479" s="185"/>
      <c r="H479" s="188"/>
      <c r="T479" s="277"/>
      <c r="U479" s="277"/>
      <c r="V479" s="277"/>
      <c r="W479" s="277"/>
      <c r="X479" s="277"/>
      <c r="Y479" s="277"/>
    </row>
    <row r="480" spans="1:25" s="39" customFormat="1" ht="12.75">
      <c r="A480" s="41"/>
      <c r="B480" s="41"/>
      <c r="C480" s="41"/>
      <c r="D480" s="41"/>
      <c r="E480" s="40"/>
      <c r="F480" s="182"/>
      <c r="G480" s="185"/>
      <c r="H480" s="188"/>
      <c r="T480" s="277"/>
      <c r="U480" s="277"/>
      <c r="V480" s="277"/>
      <c r="W480" s="277"/>
      <c r="X480" s="277"/>
      <c r="Y480" s="277"/>
    </row>
    <row r="481" spans="1:25" s="39" customFormat="1" ht="12.75">
      <c r="A481" s="41"/>
      <c r="B481" s="41"/>
      <c r="C481" s="41"/>
      <c r="D481" s="41"/>
      <c r="E481" s="40"/>
      <c r="F481" s="182"/>
      <c r="G481" s="185"/>
      <c r="H481" s="188"/>
      <c r="T481" s="277"/>
      <c r="U481" s="277"/>
      <c r="V481" s="277"/>
      <c r="W481" s="277"/>
      <c r="X481" s="277"/>
      <c r="Y481" s="277"/>
    </row>
    <row r="482" spans="1:25" s="39" customFormat="1" ht="12.75">
      <c r="A482" s="41"/>
      <c r="B482" s="41"/>
      <c r="C482" s="41"/>
      <c r="D482" s="41"/>
      <c r="E482" s="40"/>
      <c r="F482" s="182"/>
      <c r="G482" s="185"/>
      <c r="H482" s="188"/>
      <c r="T482" s="277"/>
      <c r="U482" s="277"/>
      <c r="V482" s="277"/>
      <c r="W482" s="277"/>
      <c r="X482" s="277"/>
      <c r="Y482" s="277"/>
    </row>
    <row r="483" spans="1:25" s="39" customFormat="1" ht="12.75">
      <c r="A483" s="41"/>
      <c r="B483" s="41"/>
      <c r="C483" s="41"/>
      <c r="D483" s="41"/>
      <c r="E483" s="40"/>
      <c r="F483" s="182"/>
      <c r="G483" s="185"/>
      <c r="H483" s="188"/>
      <c r="T483" s="277"/>
      <c r="U483" s="277"/>
      <c r="V483" s="277"/>
      <c r="W483" s="277"/>
      <c r="X483" s="277"/>
      <c r="Y483" s="277"/>
    </row>
    <row r="484" spans="1:25" s="39" customFormat="1" ht="12.75">
      <c r="A484" s="41"/>
      <c r="B484" s="41"/>
      <c r="C484" s="41"/>
      <c r="D484" s="41"/>
      <c r="E484" s="40"/>
      <c r="F484" s="182"/>
      <c r="G484" s="185"/>
      <c r="H484" s="188"/>
      <c r="T484" s="277"/>
      <c r="U484" s="277"/>
      <c r="V484" s="277"/>
      <c r="W484" s="277"/>
      <c r="X484" s="277"/>
      <c r="Y484" s="277"/>
    </row>
    <row r="485" spans="1:25" s="39" customFormat="1" ht="12.75">
      <c r="A485" s="41"/>
      <c r="B485" s="41"/>
      <c r="C485" s="41"/>
      <c r="D485" s="41"/>
      <c r="E485" s="40"/>
      <c r="F485" s="182"/>
      <c r="G485" s="185"/>
      <c r="H485" s="188"/>
      <c r="T485" s="277"/>
      <c r="U485" s="277"/>
      <c r="V485" s="277"/>
      <c r="W485" s="277"/>
      <c r="X485" s="277"/>
      <c r="Y485" s="277"/>
    </row>
    <row r="486" spans="1:25" s="39" customFormat="1" ht="12.75">
      <c r="A486" s="41"/>
      <c r="B486" s="41"/>
      <c r="C486" s="41"/>
      <c r="D486" s="41"/>
      <c r="E486" s="40"/>
      <c r="F486" s="182"/>
      <c r="G486" s="185"/>
      <c r="H486" s="188"/>
      <c r="T486" s="277"/>
      <c r="U486" s="277"/>
      <c r="V486" s="277"/>
      <c r="W486" s="277"/>
      <c r="X486" s="277"/>
      <c r="Y486" s="277"/>
    </row>
    <row r="487" spans="1:25" s="39" customFormat="1" ht="12.75">
      <c r="A487" s="41"/>
      <c r="B487" s="41"/>
      <c r="C487" s="41"/>
      <c r="D487" s="41"/>
      <c r="E487" s="40"/>
      <c r="F487" s="182"/>
      <c r="G487" s="185"/>
      <c r="H487" s="188"/>
      <c r="T487" s="277"/>
      <c r="U487" s="277"/>
      <c r="V487" s="277"/>
      <c r="W487" s="277"/>
      <c r="X487" s="277"/>
      <c r="Y487" s="277"/>
    </row>
    <row r="488" spans="1:25" s="39" customFormat="1" ht="12.75">
      <c r="A488" s="41"/>
      <c r="B488" s="41"/>
      <c r="C488" s="41"/>
      <c r="D488" s="41"/>
      <c r="E488" s="40"/>
      <c r="F488" s="182"/>
      <c r="G488" s="185"/>
      <c r="H488" s="188"/>
      <c r="T488" s="277"/>
      <c r="U488" s="277"/>
      <c r="V488" s="277"/>
      <c r="W488" s="277"/>
      <c r="X488" s="277"/>
      <c r="Y488" s="277"/>
    </row>
    <row r="489" spans="1:25" s="39" customFormat="1" ht="12.75">
      <c r="A489" s="41"/>
      <c r="B489" s="41"/>
      <c r="C489" s="41"/>
      <c r="D489" s="41"/>
      <c r="E489" s="40"/>
      <c r="F489" s="182"/>
      <c r="G489" s="185"/>
      <c r="H489" s="188"/>
      <c r="T489" s="277"/>
      <c r="U489" s="277"/>
      <c r="V489" s="277"/>
      <c r="W489" s="277"/>
      <c r="X489" s="277"/>
      <c r="Y489" s="277"/>
    </row>
    <row r="490" spans="1:25" s="39" customFormat="1" ht="12.75">
      <c r="A490" s="41"/>
      <c r="B490" s="41"/>
      <c r="C490" s="41"/>
      <c r="D490" s="41"/>
      <c r="E490" s="40"/>
      <c r="F490" s="182"/>
      <c r="G490" s="185"/>
      <c r="H490" s="188"/>
      <c r="T490" s="277"/>
      <c r="U490" s="277"/>
      <c r="V490" s="277"/>
      <c r="W490" s="277"/>
      <c r="X490" s="277"/>
      <c r="Y490" s="277"/>
    </row>
    <row r="491" spans="1:25" s="39" customFormat="1" ht="12.75">
      <c r="A491" s="41"/>
      <c r="B491" s="41"/>
      <c r="C491" s="41"/>
      <c r="D491" s="41"/>
      <c r="E491" s="40"/>
      <c r="F491" s="182"/>
      <c r="G491" s="185"/>
      <c r="H491" s="188"/>
      <c r="T491" s="277"/>
      <c r="U491" s="277"/>
      <c r="V491" s="277"/>
      <c r="W491" s="277"/>
      <c r="X491" s="277"/>
      <c r="Y491" s="277"/>
    </row>
    <row r="492" spans="1:25" s="39" customFormat="1" ht="12.75">
      <c r="A492" s="41"/>
      <c r="B492" s="41"/>
      <c r="C492" s="41"/>
      <c r="D492" s="41"/>
      <c r="E492" s="40"/>
      <c r="F492" s="182"/>
      <c r="G492" s="185"/>
      <c r="H492" s="188"/>
      <c r="T492" s="277"/>
      <c r="U492" s="277"/>
      <c r="V492" s="277"/>
      <c r="W492" s="277"/>
      <c r="X492" s="277"/>
      <c r="Y492" s="277"/>
    </row>
    <row r="493" spans="1:25" s="39" customFormat="1" ht="12.75">
      <c r="A493" s="41"/>
      <c r="B493" s="41"/>
      <c r="C493" s="41"/>
      <c r="D493" s="41"/>
      <c r="E493" s="40"/>
      <c r="F493" s="182"/>
      <c r="G493" s="185"/>
      <c r="H493" s="188"/>
      <c r="T493" s="277"/>
      <c r="U493" s="277"/>
      <c r="V493" s="277"/>
      <c r="W493" s="277"/>
      <c r="X493" s="277"/>
      <c r="Y493" s="277"/>
    </row>
    <row r="494" spans="1:25" s="39" customFormat="1" ht="12.75">
      <c r="A494" s="41"/>
      <c r="B494" s="41"/>
      <c r="C494" s="41"/>
      <c r="D494" s="41"/>
      <c r="E494" s="40"/>
      <c r="F494" s="182"/>
      <c r="G494" s="185"/>
      <c r="H494" s="188"/>
      <c r="T494" s="277"/>
      <c r="U494" s="277"/>
      <c r="V494" s="277"/>
      <c r="W494" s="277"/>
      <c r="X494" s="277"/>
      <c r="Y494" s="277"/>
    </row>
    <row r="495" spans="1:25" s="39" customFormat="1" ht="12.75">
      <c r="A495" s="41"/>
      <c r="B495" s="41"/>
      <c r="C495" s="41"/>
      <c r="D495" s="41"/>
      <c r="E495" s="40"/>
      <c r="F495" s="182"/>
      <c r="G495" s="185"/>
      <c r="H495" s="188"/>
      <c r="T495" s="277"/>
      <c r="U495" s="277"/>
      <c r="V495" s="277"/>
      <c r="W495" s="277"/>
      <c r="X495" s="277"/>
      <c r="Y495" s="277"/>
    </row>
    <row r="496" spans="1:25" s="39" customFormat="1" ht="12.75">
      <c r="A496" s="41"/>
      <c r="B496" s="41"/>
      <c r="C496" s="41"/>
      <c r="D496" s="41"/>
      <c r="E496" s="40"/>
      <c r="F496" s="182"/>
      <c r="G496" s="185"/>
      <c r="H496" s="188"/>
      <c r="T496" s="277"/>
      <c r="U496" s="277"/>
      <c r="V496" s="277"/>
      <c r="W496" s="277"/>
      <c r="X496" s="277"/>
      <c r="Y496" s="277"/>
    </row>
    <row r="497" spans="1:25" s="39" customFormat="1" ht="12.75">
      <c r="A497" s="41"/>
      <c r="B497" s="41"/>
      <c r="C497" s="41"/>
      <c r="D497" s="41"/>
      <c r="E497" s="40"/>
      <c r="F497" s="182"/>
      <c r="G497" s="185"/>
      <c r="H497" s="188"/>
      <c r="T497" s="277"/>
      <c r="U497" s="277"/>
      <c r="V497" s="277"/>
      <c r="W497" s="277"/>
      <c r="X497" s="277"/>
      <c r="Y497" s="277"/>
    </row>
    <row r="498" spans="1:25" s="39" customFormat="1" ht="12.75">
      <c r="A498" s="41"/>
      <c r="B498" s="41"/>
      <c r="C498" s="41"/>
      <c r="D498" s="41"/>
      <c r="E498" s="40"/>
      <c r="F498" s="182"/>
      <c r="G498" s="185"/>
      <c r="H498" s="188"/>
      <c r="T498" s="277"/>
      <c r="U498" s="277"/>
      <c r="V498" s="277"/>
      <c r="W498" s="277"/>
      <c r="X498" s="277"/>
      <c r="Y498" s="277"/>
    </row>
    <row r="499" spans="1:25" s="39" customFormat="1" ht="12.75">
      <c r="A499" s="41"/>
      <c r="B499" s="41"/>
      <c r="C499" s="41"/>
      <c r="D499" s="41"/>
      <c r="E499" s="40"/>
      <c r="F499" s="182"/>
      <c r="G499" s="185"/>
      <c r="H499" s="188"/>
      <c r="T499" s="277"/>
      <c r="U499" s="277"/>
      <c r="V499" s="277"/>
      <c r="W499" s="277"/>
      <c r="X499" s="277"/>
      <c r="Y499" s="277"/>
    </row>
    <row r="500" spans="1:25" s="39" customFormat="1" ht="12.75">
      <c r="A500" s="41"/>
      <c r="B500" s="41"/>
      <c r="C500" s="41"/>
      <c r="D500" s="41"/>
      <c r="E500" s="40"/>
      <c r="F500" s="182"/>
      <c r="G500" s="185"/>
      <c r="H500" s="188"/>
      <c r="T500" s="277"/>
      <c r="U500" s="277"/>
      <c r="V500" s="277"/>
      <c r="W500" s="277"/>
      <c r="X500" s="277"/>
      <c r="Y500" s="277"/>
    </row>
    <row r="501" spans="1:25" s="39" customFormat="1" ht="12.75">
      <c r="A501" s="41"/>
      <c r="B501" s="41"/>
      <c r="C501" s="41"/>
      <c r="D501" s="41"/>
      <c r="E501" s="40"/>
      <c r="F501" s="182"/>
      <c r="G501" s="185"/>
      <c r="H501" s="188"/>
      <c r="T501" s="277"/>
      <c r="U501" s="277"/>
      <c r="V501" s="277"/>
      <c r="W501" s="277"/>
      <c r="X501" s="277"/>
      <c r="Y501" s="277"/>
    </row>
    <row r="502" spans="1:25" s="39" customFormat="1" ht="12.75">
      <c r="A502" s="41"/>
      <c r="B502" s="41"/>
      <c r="C502" s="41"/>
      <c r="D502" s="41"/>
      <c r="E502" s="40"/>
      <c r="F502" s="182"/>
      <c r="G502" s="185"/>
      <c r="H502" s="188"/>
      <c r="T502" s="277"/>
      <c r="U502" s="277"/>
      <c r="V502" s="277"/>
      <c r="W502" s="277"/>
      <c r="X502" s="277"/>
      <c r="Y502" s="277"/>
    </row>
    <row r="503" spans="1:25" s="39" customFormat="1" ht="12.75">
      <c r="A503" s="41"/>
      <c r="B503" s="41"/>
      <c r="C503" s="41"/>
      <c r="D503" s="41"/>
      <c r="E503" s="40"/>
      <c r="F503" s="182"/>
      <c r="G503" s="185"/>
      <c r="H503" s="188"/>
      <c r="T503" s="277"/>
      <c r="U503" s="277"/>
      <c r="V503" s="277"/>
      <c r="W503" s="277"/>
      <c r="X503" s="277"/>
      <c r="Y503" s="277"/>
    </row>
    <row r="504" spans="1:25" s="39" customFormat="1" ht="12.75">
      <c r="A504" s="41"/>
      <c r="B504" s="41"/>
      <c r="C504" s="41"/>
      <c r="D504" s="41"/>
      <c r="E504" s="40"/>
      <c r="F504" s="182"/>
      <c r="G504" s="185"/>
      <c r="H504" s="188"/>
      <c r="T504" s="277"/>
      <c r="U504" s="277"/>
      <c r="V504" s="277"/>
      <c r="W504" s="277"/>
      <c r="X504" s="277"/>
      <c r="Y504" s="277"/>
    </row>
    <row r="505" spans="1:25" s="39" customFormat="1" ht="12.75">
      <c r="A505" s="41"/>
      <c r="B505" s="41"/>
      <c r="C505" s="41"/>
      <c r="D505" s="41"/>
      <c r="E505" s="40"/>
      <c r="F505" s="182"/>
      <c r="G505" s="185"/>
      <c r="H505" s="188"/>
      <c r="T505" s="277"/>
      <c r="U505" s="277"/>
      <c r="V505" s="277"/>
      <c r="W505" s="277"/>
      <c r="X505" s="277"/>
      <c r="Y505" s="277"/>
    </row>
    <row r="506" spans="1:25" s="39" customFormat="1" ht="12.75">
      <c r="A506" s="41"/>
      <c r="B506" s="41"/>
      <c r="C506" s="41"/>
      <c r="D506" s="41"/>
      <c r="E506" s="40"/>
      <c r="F506" s="182"/>
      <c r="G506" s="185"/>
      <c r="H506" s="188"/>
      <c r="T506" s="277"/>
      <c r="U506" s="277"/>
      <c r="V506" s="277"/>
      <c r="W506" s="277"/>
      <c r="X506" s="277"/>
      <c r="Y506" s="277"/>
    </row>
    <row r="507" spans="1:25" s="39" customFormat="1" ht="12.75">
      <c r="A507" s="41"/>
      <c r="B507" s="41"/>
      <c r="C507" s="41"/>
      <c r="D507" s="41"/>
      <c r="E507" s="40"/>
      <c r="F507" s="182"/>
      <c r="G507" s="185"/>
      <c r="H507" s="188"/>
      <c r="T507" s="277"/>
      <c r="U507" s="277"/>
      <c r="V507" s="277"/>
      <c r="W507" s="277"/>
      <c r="X507" s="277"/>
      <c r="Y507" s="277"/>
    </row>
    <row r="508" spans="1:25" s="39" customFormat="1" ht="12.75">
      <c r="A508" s="41"/>
      <c r="B508" s="41"/>
      <c r="C508" s="41"/>
      <c r="D508" s="41"/>
      <c r="E508" s="40"/>
      <c r="F508" s="182"/>
      <c r="G508" s="185"/>
      <c r="H508" s="188"/>
      <c r="T508" s="277"/>
      <c r="U508" s="277"/>
      <c r="V508" s="277"/>
      <c r="W508" s="277"/>
      <c r="X508" s="277"/>
      <c r="Y508" s="277"/>
    </row>
    <row r="509" spans="1:25" s="39" customFormat="1" ht="12.75">
      <c r="A509" s="41"/>
      <c r="B509" s="41"/>
      <c r="C509" s="41"/>
      <c r="D509" s="41"/>
      <c r="E509" s="40"/>
      <c r="F509" s="182"/>
      <c r="G509" s="185"/>
      <c r="H509" s="188"/>
      <c r="T509" s="277"/>
      <c r="U509" s="277"/>
      <c r="V509" s="277"/>
      <c r="W509" s="277"/>
      <c r="X509" s="277"/>
      <c r="Y509" s="277"/>
    </row>
    <row r="510" spans="1:25" s="39" customFormat="1" ht="12.75">
      <c r="A510" s="41"/>
      <c r="B510" s="41"/>
      <c r="C510" s="41"/>
      <c r="D510" s="41"/>
      <c r="E510" s="40"/>
      <c r="F510" s="182"/>
      <c r="G510" s="185"/>
      <c r="H510" s="188"/>
      <c r="T510" s="277"/>
      <c r="U510" s="277"/>
      <c r="V510" s="277"/>
      <c r="W510" s="277"/>
      <c r="X510" s="277"/>
      <c r="Y510" s="277"/>
    </row>
    <row r="511" spans="1:25" s="39" customFormat="1" ht="12.75">
      <c r="A511" s="41"/>
      <c r="B511" s="41"/>
      <c r="C511" s="41"/>
      <c r="D511" s="41"/>
      <c r="E511" s="40"/>
      <c r="F511" s="182"/>
      <c r="G511" s="185"/>
      <c r="H511" s="188"/>
      <c r="T511" s="277"/>
      <c r="U511" s="277"/>
      <c r="V511" s="277"/>
      <c r="W511" s="277"/>
      <c r="X511" s="277"/>
      <c r="Y511" s="277"/>
    </row>
    <row r="512" spans="1:25" s="39" customFormat="1" ht="12.75">
      <c r="A512" s="41"/>
      <c r="B512" s="41"/>
      <c r="C512" s="41"/>
      <c r="D512" s="41"/>
      <c r="E512" s="40"/>
      <c r="F512" s="182"/>
      <c r="G512" s="185"/>
      <c r="H512" s="188"/>
      <c r="T512" s="277"/>
      <c r="U512" s="277"/>
      <c r="V512" s="277"/>
      <c r="W512" s="277"/>
      <c r="X512" s="277"/>
      <c r="Y512" s="277"/>
    </row>
    <row r="513" spans="1:25" s="39" customFormat="1" ht="12.75">
      <c r="A513" s="41"/>
      <c r="B513" s="41"/>
      <c r="C513" s="41"/>
      <c r="D513" s="41"/>
      <c r="E513" s="40"/>
      <c r="F513" s="182"/>
      <c r="G513" s="185"/>
      <c r="H513" s="188"/>
      <c r="T513" s="277"/>
      <c r="U513" s="277"/>
      <c r="V513" s="277"/>
      <c r="W513" s="277"/>
      <c r="X513" s="277"/>
      <c r="Y513" s="277"/>
    </row>
    <row r="514" spans="1:25" s="39" customFormat="1" ht="12.75">
      <c r="A514" s="41"/>
      <c r="B514" s="41"/>
      <c r="C514" s="41"/>
      <c r="D514" s="41"/>
      <c r="E514" s="40"/>
      <c r="F514" s="182"/>
      <c r="G514" s="185"/>
      <c r="H514" s="188"/>
      <c r="T514" s="277"/>
      <c r="U514" s="277"/>
      <c r="V514" s="277"/>
      <c r="W514" s="277"/>
      <c r="X514" s="277"/>
      <c r="Y514" s="277"/>
    </row>
    <row r="515" spans="1:25" s="39" customFormat="1" ht="12.75">
      <c r="A515" s="41"/>
      <c r="B515" s="41"/>
      <c r="C515" s="41"/>
      <c r="D515" s="41"/>
      <c r="E515" s="40"/>
      <c r="F515" s="182"/>
      <c r="G515" s="185"/>
      <c r="H515" s="188"/>
      <c r="T515" s="277"/>
      <c r="U515" s="277"/>
      <c r="V515" s="277"/>
      <c r="W515" s="277"/>
      <c r="X515" s="277"/>
      <c r="Y515" s="277"/>
    </row>
    <row r="516" spans="1:25" s="39" customFormat="1" ht="12.75">
      <c r="A516" s="41"/>
      <c r="B516" s="41"/>
      <c r="C516" s="41"/>
      <c r="D516" s="41"/>
      <c r="E516" s="40"/>
      <c r="F516" s="182"/>
      <c r="G516" s="185"/>
      <c r="H516" s="188"/>
      <c r="T516" s="277"/>
      <c r="U516" s="277"/>
      <c r="V516" s="277"/>
      <c r="W516" s="277"/>
      <c r="X516" s="277"/>
      <c r="Y516" s="277"/>
    </row>
    <row r="517" spans="1:25" s="39" customFormat="1" ht="12.75">
      <c r="A517" s="41"/>
      <c r="B517" s="41"/>
      <c r="C517" s="41"/>
      <c r="D517" s="41"/>
      <c r="E517" s="40"/>
      <c r="F517" s="182"/>
      <c r="G517" s="185"/>
      <c r="H517" s="188"/>
      <c r="T517" s="277"/>
      <c r="U517" s="277"/>
      <c r="V517" s="277"/>
      <c r="W517" s="277"/>
      <c r="X517" s="277"/>
      <c r="Y517" s="277"/>
    </row>
    <row r="518" spans="1:25" s="39" customFormat="1" ht="12.75">
      <c r="A518" s="41"/>
      <c r="B518" s="41"/>
      <c r="C518" s="41"/>
      <c r="D518" s="41"/>
      <c r="E518" s="40"/>
      <c r="F518" s="182"/>
      <c r="G518" s="185"/>
      <c r="H518" s="188"/>
      <c r="T518" s="277"/>
      <c r="U518" s="277"/>
      <c r="V518" s="277"/>
      <c r="W518" s="277"/>
      <c r="X518" s="277"/>
      <c r="Y518" s="277"/>
    </row>
    <row r="519" spans="1:25" s="39" customFormat="1" ht="12.75">
      <c r="A519" s="41"/>
      <c r="B519" s="41"/>
      <c r="C519" s="41"/>
      <c r="D519" s="41"/>
      <c r="E519" s="40"/>
      <c r="F519" s="182"/>
      <c r="G519" s="185"/>
      <c r="H519" s="188"/>
      <c r="T519" s="277"/>
      <c r="U519" s="277"/>
      <c r="V519" s="277"/>
      <c r="W519" s="277"/>
      <c r="X519" s="277"/>
      <c r="Y519" s="277"/>
    </row>
    <row r="520" spans="1:25" s="39" customFormat="1" ht="12.75">
      <c r="A520" s="41"/>
      <c r="B520" s="41"/>
      <c r="C520" s="41"/>
      <c r="D520" s="41"/>
      <c r="E520" s="40"/>
      <c r="F520" s="182"/>
      <c r="G520" s="185"/>
      <c r="H520" s="188"/>
      <c r="T520" s="277"/>
      <c r="U520" s="277"/>
      <c r="V520" s="277"/>
      <c r="W520" s="277"/>
      <c r="X520" s="277"/>
      <c r="Y520" s="277"/>
    </row>
    <row r="521" spans="1:25" s="39" customFormat="1" ht="12.75">
      <c r="A521" s="41"/>
      <c r="B521" s="41"/>
      <c r="C521" s="41"/>
      <c r="D521" s="41"/>
      <c r="E521" s="40"/>
      <c r="F521" s="182"/>
      <c r="G521" s="185"/>
      <c r="H521" s="188"/>
      <c r="T521" s="277"/>
      <c r="U521" s="277"/>
      <c r="V521" s="277"/>
      <c r="W521" s="277"/>
      <c r="X521" s="277"/>
      <c r="Y521" s="277"/>
    </row>
    <row r="522" spans="1:25" s="39" customFormat="1" ht="12.75">
      <c r="A522" s="41"/>
      <c r="B522" s="41"/>
      <c r="C522" s="41"/>
      <c r="D522" s="41"/>
      <c r="E522" s="40"/>
      <c r="F522" s="182"/>
      <c r="G522" s="185"/>
      <c r="H522" s="188"/>
      <c r="T522" s="277"/>
      <c r="U522" s="277"/>
      <c r="V522" s="277"/>
      <c r="W522" s="277"/>
      <c r="X522" s="277"/>
      <c r="Y522" s="277"/>
    </row>
    <row r="523" spans="1:25" s="39" customFormat="1" ht="12.75">
      <c r="A523" s="41"/>
      <c r="B523" s="41"/>
      <c r="C523" s="41"/>
      <c r="D523" s="41"/>
      <c r="E523" s="40"/>
      <c r="F523" s="182"/>
      <c r="G523" s="185"/>
      <c r="H523" s="188"/>
      <c r="T523" s="277"/>
      <c r="U523" s="277"/>
      <c r="V523" s="277"/>
      <c r="W523" s="277"/>
      <c r="X523" s="277"/>
      <c r="Y523" s="277"/>
    </row>
    <row r="524" spans="1:25" s="39" customFormat="1" ht="12.75">
      <c r="A524" s="41"/>
      <c r="B524" s="41"/>
      <c r="C524" s="41"/>
      <c r="D524" s="41"/>
      <c r="E524" s="40"/>
      <c r="F524" s="182"/>
      <c r="G524" s="185"/>
      <c r="H524" s="188"/>
      <c r="T524" s="277"/>
      <c r="U524" s="277"/>
      <c r="V524" s="277"/>
      <c r="W524" s="277"/>
      <c r="X524" s="277"/>
      <c r="Y524" s="277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D13" sqref="D13"/>
    </sheetView>
  </sheetViews>
  <sheetFormatPr defaultColWidth="9.00390625" defaultRowHeight="12.75"/>
  <cols>
    <col min="1" max="1" width="5.625" style="9" customWidth="1"/>
    <col min="2" max="2" width="7.875" style="9" customWidth="1"/>
    <col min="3" max="3" width="5.75390625" style="9" customWidth="1"/>
    <col min="4" max="4" width="34.875" style="9" customWidth="1"/>
    <col min="5" max="5" width="20.25390625" style="9" customWidth="1"/>
    <col min="6" max="7" width="11.75390625" style="91" hidden="1" customWidth="1"/>
    <col min="8" max="8" width="13.75390625" style="0" hidden="1" customWidth="1"/>
  </cols>
  <sheetData>
    <row r="1" spans="1:8" ht="12.75">
      <c r="A1" s="106"/>
      <c r="B1" s="106"/>
      <c r="C1" s="106"/>
      <c r="D1" s="106"/>
      <c r="E1" s="107" t="s">
        <v>286</v>
      </c>
      <c r="F1" s="200"/>
      <c r="G1" s="200"/>
      <c r="H1" s="222"/>
    </row>
    <row r="2" spans="1:8" ht="12.75">
      <c r="A2" s="106"/>
      <c r="B2" s="106"/>
      <c r="C2" s="106"/>
      <c r="D2" s="106"/>
      <c r="E2" s="107" t="s">
        <v>359</v>
      </c>
      <c r="F2" s="200"/>
      <c r="G2" s="200"/>
      <c r="H2" s="222"/>
    </row>
    <row r="3" spans="1:8" ht="12.75">
      <c r="A3" s="106"/>
      <c r="B3" s="106"/>
      <c r="C3" s="106"/>
      <c r="D3" s="106"/>
      <c r="E3" s="107" t="s">
        <v>192</v>
      </c>
      <c r="F3" s="200"/>
      <c r="G3" s="200"/>
      <c r="H3" s="222"/>
    </row>
    <row r="4" spans="1:8" ht="12.75">
      <c r="A4" s="106"/>
      <c r="B4" s="106"/>
      <c r="C4" s="106"/>
      <c r="D4" s="106"/>
      <c r="E4" s="107" t="s">
        <v>360</v>
      </c>
      <c r="F4" s="200"/>
      <c r="G4" s="200"/>
      <c r="H4" s="222"/>
    </row>
    <row r="5" spans="1:8" ht="12.75">
      <c r="A5" s="106"/>
      <c r="B5" s="106"/>
      <c r="C5" s="106"/>
      <c r="D5" s="106"/>
      <c r="E5" s="106"/>
      <c r="F5" s="223"/>
      <c r="G5" s="223"/>
      <c r="H5" s="222"/>
    </row>
    <row r="6" spans="1:8" ht="27.75" customHeight="1">
      <c r="A6" s="392" t="s">
        <v>361</v>
      </c>
      <c r="B6" s="392"/>
      <c r="C6" s="392"/>
      <c r="D6" s="392"/>
      <c r="E6" s="221"/>
      <c r="F6" s="223"/>
      <c r="G6" s="223"/>
      <c r="H6" s="222"/>
    </row>
    <row r="7" spans="1:8" ht="11.25" customHeight="1">
      <c r="A7" s="221"/>
      <c r="B7" s="221"/>
      <c r="C7" s="221"/>
      <c r="D7" s="221"/>
      <c r="E7" s="221"/>
      <c r="F7" s="223"/>
      <c r="G7" s="223"/>
      <c r="H7" s="222"/>
    </row>
    <row r="8" spans="1:8" s="9" customFormat="1" ht="28.5" customHeight="1">
      <c r="A8" s="113" t="s">
        <v>0</v>
      </c>
      <c r="B8" s="113" t="s">
        <v>1</v>
      </c>
      <c r="C8" s="156" t="s">
        <v>2</v>
      </c>
      <c r="D8" s="113" t="s">
        <v>3</v>
      </c>
      <c r="E8" s="204" t="s">
        <v>165</v>
      </c>
      <c r="F8" s="34" t="s">
        <v>309</v>
      </c>
      <c r="G8" s="34" t="s">
        <v>310</v>
      </c>
      <c r="H8" s="203" t="s">
        <v>168</v>
      </c>
    </row>
    <row r="9" spans="1:8" s="9" customFormat="1" ht="24" customHeight="1">
      <c r="A9" s="63" t="s">
        <v>18</v>
      </c>
      <c r="B9" s="54"/>
      <c r="C9" s="105"/>
      <c r="D9" s="66" t="s">
        <v>19</v>
      </c>
      <c r="E9" s="116">
        <f>SUM(E10)</f>
        <v>144800</v>
      </c>
      <c r="F9" s="206">
        <f>SUM(F10)</f>
        <v>0</v>
      </c>
      <c r="G9" s="206">
        <f>SUM(G10)</f>
        <v>0</v>
      </c>
      <c r="H9" s="116">
        <f>SUM(H10)</f>
        <v>144800</v>
      </c>
    </row>
    <row r="10" spans="1:8" s="43" customFormat="1" ht="21.75" customHeight="1">
      <c r="A10" s="120"/>
      <c r="B10" s="120">
        <v>75011</v>
      </c>
      <c r="C10" s="121"/>
      <c r="D10" s="68" t="s">
        <v>20</v>
      </c>
      <c r="E10" s="149">
        <f>E11</f>
        <v>144800</v>
      </c>
      <c r="F10" s="150">
        <f>F11</f>
        <v>0</v>
      </c>
      <c r="G10" s="150">
        <f>G11</f>
        <v>0</v>
      </c>
      <c r="H10" s="149">
        <f>H11</f>
        <v>144800</v>
      </c>
    </row>
    <row r="11" spans="1:8" s="43" customFormat="1" ht="47.25" customHeight="1">
      <c r="A11" s="120"/>
      <c r="B11" s="142"/>
      <c r="C11" s="122" t="s">
        <v>260</v>
      </c>
      <c r="D11" s="68" t="s">
        <v>363</v>
      </c>
      <c r="E11" s="149">
        <v>144800</v>
      </c>
      <c r="F11" s="148"/>
      <c r="G11" s="148"/>
      <c r="H11" s="205">
        <f>SUM(E11+F11-G11)</f>
        <v>144800</v>
      </c>
    </row>
    <row r="12" spans="1:8" s="9" customFormat="1" ht="40.5" customHeight="1">
      <c r="A12" s="63">
        <v>751</v>
      </c>
      <c r="B12" s="65"/>
      <c r="C12" s="117"/>
      <c r="D12" s="66" t="s">
        <v>23</v>
      </c>
      <c r="E12" s="118">
        <f>SUM(E13,E15)</f>
        <v>3930</v>
      </c>
      <c r="F12" s="118">
        <f>SUM(F13,F15)</f>
        <v>0</v>
      </c>
      <c r="G12" s="118">
        <f>SUM(G13,G15)</f>
        <v>0</v>
      </c>
      <c r="H12" s="118">
        <f>SUM(H13,H15)</f>
        <v>3930</v>
      </c>
    </row>
    <row r="13" spans="1:8" s="43" customFormat="1" ht="26.25" customHeight="1">
      <c r="A13" s="142"/>
      <c r="B13" s="120">
        <v>75101</v>
      </c>
      <c r="C13" s="121"/>
      <c r="D13" s="68" t="s">
        <v>24</v>
      </c>
      <c r="E13" s="150">
        <f>E14</f>
        <v>3930</v>
      </c>
      <c r="F13" s="150">
        <f>F14</f>
        <v>0</v>
      </c>
      <c r="G13" s="150">
        <f>G14</f>
        <v>0</v>
      </c>
      <c r="H13" s="150">
        <f>H14</f>
        <v>3930</v>
      </c>
    </row>
    <row r="14" spans="1:8" s="43" customFormat="1" ht="51" customHeight="1">
      <c r="A14" s="142"/>
      <c r="B14" s="120"/>
      <c r="C14" s="122" t="s">
        <v>260</v>
      </c>
      <c r="D14" s="68" t="s">
        <v>369</v>
      </c>
      <c r="E14" s="150">
        <v>3930</v>
      </c>
      <c r="F14" s="148"/>
      <c r="G14" s="148"/>
      <c r="H14" s="148">
        <f>SUM(E14+F14-G14)</f>
        <v>3930</v>
      </c>
    </row>
    <row r="15" spans="1:8" s="43" customFormat="1" ht="24.75" customHeight="1" hidden="1">
      <c r="A15" s="142"/>
      <c r="B15" s="120">
        <v>75107</v>
      </c>
      <c r="C15" s="157"/>
      <c r="D15" s="68" t="s">
        <v>350</v>
      </c>
      <c r="E15" s="150">
        <f>SUM(E16)</f>
        <v>0</v>
      </c>
      <c r="F15" s="150">
        <f>SUM(F16)</f>
        <v>0</v>
      </c>
      <c r="G15" s="150">
        <f>SUM(G16)</f>
        <v>0</v>
      </c>
      <c r="H15" s="150">
        <f>SUM(H16)</f>
        <v>0</v>
      </c>
    </row>
    <row r="16" spans="1:8" s="43" customFormat="1" ht="50.25" customHeight="1" hidden="1">
      <c r="A16" s="142"/>
      <c r="B16" s="120"/>
      <c r="C16" s="122">
        <v>2010</v>
      </c>
      <c r="D16" s="68" t="s">
        <v>363</v>
      </c>
      <c r="E16" s="150"/>
      <c r="F16" s="148"/>
      <c r="G16" s="148"/>
      <c r="H16" s="148">
        <f>SUM(E16+F16-G16)</f>
        <v>0</v>
      </c>
    </row>
    <row r="17" spans="1:8" s="9" customFormat="1" ht="27.75" customHeight="1">
      <c r="A17" s="63" t="s">
        <v>25</v>
      </c>
      <c r="B17" s="54"/>
      <c r="C17" s="105"/>
      <c r="D17" s="66" t="s">
        <v>166</v>
      </c>
      <c r="E17" s="116">
        <f>E18</f>
        <v>400</v>
      </c>
      <c r="F17" s="206">
        <f>F18</f>
        <v>0</v>
      </c>
      <c r="G17" s="206">
        <f>G18</f>
        <v>0</v>
      </c>
      <c r="H17" s="116">
        <f>H18</f>
        <v>400</v>
      </c>
    </row>
    <row r="18" spans="1:8" s="43" customFormat="1" ht="23.25" customHeight="1">
      <c r="A18" s="142"/>
      <c r="B18" s="120" t="s">
        <v>27</v>
      </c>
      <c r="C18" s="121"/>
      <c r="D18" s="68" t="s">
        <v>28</v>
      </c>
      <c r="E18" s="149">
        <f>SUM(E19)</f>
        <v>400</v>
      </c>
      <c r="F18" s="150">
        <f>SUM(F19)</f>
        <v>0</v>
      </c>
      <c r="G18" s="150">
        <f>SUM(G19)</f>
        <v>0</v>
      </c>
      <c r="H18" s="149">
        <f>SUM(H19)</f>
        <v>400</v>
      </c>
    </row>
    <row r="19" spans="1:8" s="43" customFormat="1" ht="50.25" customHeight="1">
      <c r="A19" s="142"/>
      <c r="B19" s="120"/>
      <c r="C19" s="122" t="s">
        <v>260</v>
      </c>
      <c r="D19" s="68" t="s">
        <v>363</v>
      </c>
      <c r="E19" s="149">
        <v>400</v>
      </c>
      <c r="F19" s="148"/>
      <c r="G19" s="148"/>
      <c r="H19" s="205">
        <f>SUM(E19+F19-G19)</f>
        <v>400</v>
      </c>
    </row>
    <row r="20" spans="1:8" s="72" customFormat="1" ht="55.5" customHeight="1">
      <c r="A20" s="65">
        <v>756</v>
      </c>
      <c r="B20" s="63"/>
      <c r="C20" s="179"/>
      <c r="D20" s="187" t="s">
        <v>228</v>
      </c>
      <c r="E20" s="180">
        <f>SUM(E21)</f>
        <v>141510</v>
      </c>
      <c r="F20" s="118">
        <f aca="true" t="shared" si="0" ref="F20:H21">SUM(F21)</f>
        <v>0</v>
      </c>
      <c r="G20" s="118">
        <f t="shared" si="0"/>
        <v>0</v>
      </c>
      <c r="H20" s="180">
        <f t="shared" si="0"/>
        <v>141510</v>
      </c>
    </row>
    <row r="21" spans="1:8" s="43" customFormat="1" ht="52.5" customHeight="1">
      <c r="A21" s="142"/>
      <c r="B21" s="120">
        <v>75615</v>
      </c>
      <c r="C21" s="122"/>
      <c r="D21" s="119" t="s">
        <v>229</v>
      </c>
      <c r="E21" s="149">
        <f>SUM(E22)</f>
        <v>141510</v>
      </c>
      <c r="F21" s="150">
        <f t="shared" si="0"/>
        <v>0</v>
      </c>
      <c r="G21" s="150">
        <f t="shared" si="0"/>
        <v>0</v>
      </c>
      <c r="H21" s="149">
        <f t="shared" si="0"/>
        <v>141510</v>
      </c>
    </row>
    <row r="22" spans="1:8" s="43" customFormat="1" ht="39.75" customHeight="1">
      <c r="A22" s="142"/>
      <c r="B22" s="120"/>
      <c r="C22" s="122">
        <v>2440</v>
      </c>
      <c r="D22" s="119" t="s">
        <v>274</v>
      </c>
      <c r="E22" s="149">
        <v>141510</v>
      </c>
      <c r="F22" s="148"/>
      <c r="G22" s="148"/>
      <c r="H22" s="205">
        <f>SUM(E22+F22-G22)</f>
        <v>141510</v>
      </c>
    </row>
    <row r="23" spans="1:8" s="72" customFormat="1" ht="24" customHeight="1" hidden="1">
      <c r="A23" s="65">
        <v>801</v>
      </c>
      <c r="B23" s="63"/>
      <c r="C23" s="179"/>
      <c r="D23" s="187" t="s">
        <v>127</v>
      </c>
      <c r="E23" s="180">
        <f>SUM(E26)</f>
        <v>0</v>
      </c>
      <c r="F23" s="180">
        <f>SUM(F26)</f>
        <v>0</v>
      </c>
      <c r="G23" s="180">
        <f>SUM(G26)</f>
        <v>0</v>
      </c>
      <c r="H23" s="180">
        <f>SUM(H26)</f>
        <v>0</v>
      </c>
    </row>
    <row r="24" spans="1:8" s="43" customFormat="1" ht="24" customHeight="1" hidden="1">
      <c r="A24" s="142"/>
      <c r="B24" s="120">
        <v>80101</v>
      </c>
      <c r="C24" s="122"/>
      <c r="D24" s="119" t="s">
        <v>62</v>
      </c>
      <c r="E24" s="149">
        <f>SUM(E25)</f>
        <v>0</v>
      </c>
      <c r="F24" s="149">
        <f aca="true" t="shared" si="1" ref="F24:H28">SUM(F25)</f>
        <v>0</v>
      </c>
      <c r="G24" s="149">
        <f t="shared" si="1"/>
        <v>0</v>
      </c>
      <c r="H24" s="149">
        <f t="shared" si="1"/>
        <v>0</v>
      </c>
    </row>
    <row r="25" spans="1:8" s="43" customFormat="1" ht="39.75" customHeight="1" hidden="1">
      <c r="A25" s="142"/>
      <c r="B25" s="120"/>
      <c r="C25" s="122">
        <v>2030</v>
      </c>
      <c r="D25" s="132" t="s">
        <v>364</v>
      </c>
      <c r="E25" s="149">
        <v>0</v>
      </c>
      <c r="F25" s="148"/>
      <c r="G25" s="148"/>
      <c r="H25" s="205">
        <f>SUM(E25+F25-G25)</f>
        <v>0</v>
      </c>
    </row>
    <row r="26" spans="1:8" s="43" customFormat="1" ht="24" customHeight="1" hidden="1">
      <c r="A26" s="142"/>
      <c r="B26" s="120">
        <v>80110</v>
      </c>
      <c r="C26" s="122"/>
      <c r="D26" s="119" t="s">
        <v>63</v>
      </c>
      <c r="E26" s="149">
        <f>SUM(E27)</f>
        <v>0</v>
      </c>
      <c r="F26" s="149">
        <f t="shared" si="1"/>
        <v>0</v>
      </c>
      <c r="G26" s="149">
        <f t="shared" si="1"/>
        <v>0</v>
      </c>
      <c r="H26" s="149">
        <f t="shared" si="1"/>
        <v>0</v>
      </c>
    </row>
    <row r="27" spans="1:8" s="43" customFormat="1" ht="48.75" customHeight="1" hidden="1">
      <c r="A27" s="142"/>
      <c r="B27" s="120"/>
      <c r="C27" s="122">
        <v>2320</v>
      </c>
      <c r="D27" s="68" t="s">
        <v>365</v>
      </c>
      <c r="E27" s="149">
        <v>0</v>
      </c>
      <c r="F27" s="148"/>
      <c r="G27" s="148"/>
      <c r="H27" s="205">
        <f>SUM(E27+F27-G27)</f>
        <v>0</v>
      </c>
    </row>
    <row r="28" spans="1:8" s="43" customFormat="1" ht="24" customHeight="1" hidden="1">
      <c r="A28" s="142"/>
      <c r="B28" s="120">
        <v>80195</v>
      </c>
      <c r="C28" s="122"/>
      <c r="D28" s="119" t="s">
        <v>6</v>
      </c>
      <c r="E28" s="149">
        <f>SUM(E29)</f>
        <v>0</v>
      </c>
      <c r="F28" s="149">
        <f t="shared" si="1"/>
        <v>0</v>
      </c>
      <c r="G28" s="149">
        <f t="shared" si="1"/>
        <v>0</v>
      </c>
      <c r="H28" s="149">
        <f t="shared" si="1"/>
        <v>0</v>
      </c>
    </row>
    <row r="29" spans="1:8" s="43" customFormat="1" ht="38.25" customHeight="1" hidden="1">
      <c r="A29" s="142"/>
      <c r="B29" s="120"/>
      <c r="C29" s="122">
        <v>2030</v>
      </c>
      <c r="D29" s="132" t="s">
        <v>364</v>
      </c>
      <c r="E29" s="149">
        <v>0</v>
      </c>
      <c r="F29" s="148"/>
      <c r="G29" s="148"/>
      <c r="H29" s="205">
        <f>SUM(E29+F29-G29)</f>
        <v>0</v>
      </c>
    </row>
    <row r="30" spans="1:8" s="72" customFormat="1" ht="28.5" customHeight="1">
      <c r="A30" s="63" t="s">
        <v>230</v>
      </c>
      <c r="B30" s="65"/>
      <c r="C30" s="117"/>
      <c r="D30" s="66" t="s">
        <v>279</v>
      </c>
      <c r="E30" s="116">
        <f>SUM(E31,E33,E35,E38,E40)</f>
        <v>7040846</v>
      </c>
      <c r="F30" s="116">
        <f>SUM(F31,F33,F35,F38,F40)</f>
        <v>0</v>
      </c>
      <c r="G30" s="116">
        <f>SUM(G31,G33,G35,G38,G40)</f>
        <v>0</v>
      </c>
      <c r="H30" s="116">
        <f>SUM(H31,H33,H35,H38,H40)</f>
        <v>7040846</v>
      </c>
    </row>
    <row r="31" spans="1:8" s="43" customFormat="1" ht="38.25" customHeight="1">
      <c r="A31" s="120"/>
      <c r="B31" s="89">
        <v>85212</v>
      </c>
      <c r="C31" s="134"/>
      <c r="D31" s="132" t="s">
        <v>325</v>
      </c>
      <c r="E31" s="147">
        <f>SUM(E32)</f>
        <v>5507000</v>
      </c>
      <c r="F31" s="207">
        <f>SUM(F32)</f>
        <v>0</v>
      </c>
      <c r="G31" s="207">
        <f>SUM(G32)</f>
        <v>0</v>
      </c>
      <c r="H31" s="147">
        <f>SUM(H32)</f>
        <v>5507000</v>
      </c>
    </row>
    <row r="32" spans="1:8" s="43" customFormat="1" ht="50.25" customHeight="1">
      <c r="A32" s="120"/>
      <c r="B32" s="89"/>
      <c r="C32" s="134">
        <v>2010</v>
      </c>
      <c r="D32" s="68" t="s">
        <v>363</v>
      </c>
      <c r="E32" s="147">
        <v>5507000</v>
      </c>
      <c r="F32" s="148"/>
      <c r="G32" s="148"/>
      <c r="H32" s="205">
        <f>SUM(E32+F32-G32)</f>
        <v>5507000</v>
      </c>
    </row>
    <row r="33" spans="1:8" s="43" customFormat="1" ht="53.25" customHeight="1">
      <c r="A33" s="120"/>
      <c r="B33" s="142">
        <v>85213</v>
      </c>
      <c r="C33" s="121"/>
      <c r="D33" s="68" t="s">
        <v>277</v>
      </c>
      <c r="E33" s="147">
        <f>SUM(E34)</f>
        <v>74700</v>
      </c>
      <c r="F33" s="207">
        <f>SUM(F34)</f>
        <v>0</v>
      </c>
      <c r="G33" s="207">
        <f>SUM(G34)</f>
        <v>0</v>
      </c>
      <c r="H33" s="147">
        <f>SUM(H34)</f>
        <v>74700</v>
      </c>
    </row>
    <row r="34" spans="1:8" s="43" customFormat="1" ht="48" customHeight="1">
      <c r="A34" s="120"/>
      <c r="B34" s="142"/>
      <c r="C34" s="121">
        <v>2010</v>
      </c>
      <c r="D34" s="68" t="s">
        <v>363</v>
      </c>
      <c r="E34" s="147">
        <v>74700</v>
      </c>
      <c r="F34" s="148"/>
      <c r="G34" s="148"/>
      <c r="H34" s="205">
        <f>SUM(E34+F34-G34)</f>
        <v>74700</v>
      </c>
    </row>
    <row r="35" spans="1:8" s="43" customFormat="1" ht="33" customHeight="1">
      <c r="A35" s="120"/>
      <c r="B35" s="120" t="s">
        <v>231</v>
      </c>
      <c r="C35" s="121"/>
      <c r="D35" s="68" t="s">
        <v>428</v>
      </c>
      <c r="E35" s="149">
        <f>SUM(E36:E37)</f>
        <v>1005400</v>
      </c>
      <c r="F35" s="150">
        <f>SUM(F36:F37)</f>
        <v>0</v>
      </c>
      <c r="G35" s="150">
        <f>SUM(G36:G37)</f>
        <v>0</v>
      </c>
      <c r="H35" s="149">
        <f>SUM(H36:H37)</f>
        <v>1005400</v>
      </c>
    </row>
    <row r="36" spans="1:8" s="43" customFormat="1" ht="50.25" customHeight="1">
      <c r="A36" s="120"/>
      <c r="B36" s="120"/>
      <c r="C36" s="122" t="s">
        <v>260</v>
      </c>
      <c r="D36" s="68" t="s">
        <v>370</v>
      </c>
      <c r="E36" s="149">
        <v>569300</v>
      </c>
      <c r="F36" s="148"/>
      <c r="G36" s="148"/>
      <c r="H36" s="205">
        <f>SUM(E36+F36-G36)</f>
        <v>569300</v>
      </c>
    </row>
    <row r="37" spans="1:8" s="43" customFormat="1" ht="37.5" customHeight="1">
      <c r="A37" s="120"/>
      <c r="B37" s="120"/>
      <c r="C37" s="122">
        <v>2030</v>
      </c>
      <c r="D37" s="132" t="s">
        <v>364</v>
      </c>
      <c r="E37" s="149">
        <v>436100</v>
      </c>
      <c r="F37" s="148"/>
      <c r="G37" s="148"/>
      <c r="H37" s="205">
        <f>SUM(E37+F37-G37)</f>
        <v>436100</v>
      </c>
    </row>
    <row r="38" spans="1:8" s="43" customFormat="1" ht="23.25" customHeight="1">
      <c r="A38" s="120"/>
      <c r="B38" s="120" t="s">
        <v>232</v>
      </c>
      <c r="C38" s="121"/>
      <c r="D38" s="68" t="s">
        <v>70</v>
      </c>
      <c r="E38" s="149">
        <f>E39</f>
        <v>312200</v>
      </c>
      <c r="F38" s="150">
        <f>F39</f>
        <v>0</v>
      </c>
      <c r="G38" s="150">
        <f>G39</f>
        <v>0</v>
      </c>
      <c r="H38" s="149">
        <f>H39</f>
        <v>312200</v>
      </c>
    </row>
    <row r="39" spans="1:8" s="43" customFormat="1" ht="45" customHeight="1">
      <c r="A39" s="120"/>
      <c r="B39" s="120"/>
      <c r="C39" s="122">
        <v>2030</v>
      </c>
      <c r="D39" s="132" t="s">
        <v>333</v>
      </c>
      <c r="E39" s="149">
        <v>312200</v>
      </c>
      <c r="F39" s="148"/>
      <c r="G39" s="148"/>
      <c r="H39" s="205">
        <f>SUM(E39+F39-G39)</f>
        <v>312200</v>
      </c>
    </row>
    <row r="40" spans="1:8" s="43" customFormat="1" ht="24" customHeight="1">
      <c r="A40" s="120"/>
      <c r="B40" s="120">
        <v>85295</v>
      </c>
      <c r="C40" s="122"/>
      <c r="D40" s="132" t="s">
        <v>6</v>
      </c>
      <c r="E40" s="149">
        <f>SUM(E41)</f>
        <v>141546</v>
      </c>
      <c r="F40" s="149">
        <f>SUM(F41)</f>
        <v>0</v>
      </c>
      <c r="G40" s="149">
        <f>SUM(G41)</f>
        <v>0</v>
      </c>
      <c r="H40" s="149">
        <f>SUM(H41)</f>
        <v>141546</v>
      </c>
    </row>
    <row r="41" spans="1:8" s="43" customFormat="1" ht="38.25" customHeight="1">
      <c r="A41" s="120"/>
      <c r="B41" s="120"/>
      <c r="C41" s="122">
        <v>2030</v>
      </c>
      <c r="D41" s="132" t="s">
        <v>364</v>
      </c>
      <c r="E41" s="149">
        <v>141546</v>
      </c>
      <c r="F41" s="148"/>
      <c r="G41" s="148"/>
      <c r="H41" s="205">
        <f>E41+F41-G41</f>
        <v>141546</v>
      </c>
    </row>
    <row r="42" spans="1:8" s="72" customFormat="1" ht="28.5" customHeight="1" hidden="1">
      <c r="A42" s="63">
        <v>854</v>
      </c>
      <c r="B42" s="63"/>
      <c r="C42" s="179"/>
      <c r="D42" s="58" t="s">
        <v>71</v>
      </c>
      <c r="E42" s="180">
        <f>SUM(E43)</f>
        <v>0</v>
      </c>
      <c r="F42" s="180">
        <f aca="true" t="shared" si="2" ref="F42:H43">SUM(F43)</f>
        <v>0</v>
      </c>
      <c r="G42" s="180">
        <f t="shared" si="2"/>
        <v>0</v>
      </c>
      <c r="H42" s="180">
        <f t="shared" si="2"/>
        <v>0</v>
      </c>
    </row>
    <row r="43" spans="1:8" s="43" customFormat="1" ht="24" customHeight="1" hidden="1">
      <c r="A43" s="120"/>
      <c r="B43" s="120">
        <v>85415</v>
      </c>
      <c r="C43" s="122"/>
      <c r="D43" s="132" t="s">
        <v>235</v>
      </c>
      <c r="E43" s="149">
        <f>SUM(E44)</f>
        <v>0</v>
      </c>
      <c r="F43" s="149">
        <f t="shared" si="2"/>
        <v>0</v>
      </c>
      <c r="G43" s="149">
        <f t="shared" si="2"/>
        <v>0</v>
      </c>
      <c r="H43" s="149">
        <f t="shared" si="2"/>
        <v>0</v>
      </c>
    </row>
    <row r="44" spans="1:8" s="43" customFormat="1" ht="37.5" customHeight="1" hidden="1">
      <c r="A44" s="120"/>
      <c r="B44" s="120"/>
      <c r="C44" s="122">
        <v>2030</v>
      </c>
      <c r="D44" s="132" t="s">
        <v>364</v>
      </c>
      <c r="E44" s="149"/>
      <c r="F44" s="148"/>
      <c r="G44" s="148"/>
      <c r="H44" s="205">
        <v>0</v>
      </c>
    </row>
    <row r="45" spans="1:8" s="9" customFormat="1" ht="32.25" customHeight="1">
      <c r="A45" s="63" t="s">
        <v>76</v>
      </c>
      <c r="B45" s="54"/>
      <c r="C45" s="105"/>
      <c r="D45" s="66" t="s">
        <v>167</v>
      </c>
      <c r="E45" s="116">
        <f>SUM(E48,E50,E46)</f>
        <v>45000</v>
      </c>
      <c r="F45" s="116">
        <f>SUM(F48,F50,F46)</f>
        <v>0</v>
      </c>
      <c r="G45" s="116">
        <f>SUM(G48,G50,G46)</f>
        <v>0</v>
      </c>
      <c r="H45" s="116">
        <f>SUM(H48,H50,H46)</f>
        <v>45000</v>
      </c>
    </row>
    <row r="46" spans="1:8" s="9" customFormat="1" ht="24" customHeight="1" hidden="1">
      <c r="A46" s="63"/>
      <c r="B46" s="142">
        <v>92109</v>
      </c>
      <c r="C46" s="121"/>
      <c r="D46" s="68" t="s">
        <v>337</v>
      </c>
      <c r="E46" s="147">
        <f>SUM(E47)</f>
        <v>0</v>
      </c>
      <c r="F46" s="147">
        <f>SUM(F47)</f>
        <v>0</v>
      </c>
      <c r="G46" s="147">
        <f>SUM(G47)</f>
        <v>0</v>
      </c>
      <c r="H46" s="147">
        <f>SUM(H47)</f>
        <v>0</v>
      </c>
    </row>
    <row r="47" spans="1:8" s="9" customFormat="1" ht="60" customHeight="1" hidden="1">
      <c r="A47" s="63"/>
      <c r="B47" s="142"/>
      <c r="C47" s="122">
        <v>2320</v>
      </c>
      <c r="D47" s="68" t="s">
        <v>329</v>
      </c>
      <c r="E47" s="147"/>
      <c r="F47" s="207"/>
      <c r="G47" s="207"/>
      <c r="H47" s="147">
        <f>SUM(E47+F47-G47)</f>
        <v>0</v>
      </c>
    </row>
    <row r="48" spans="1:8" s="43" customFormat="1" ht="21.75" customHeight="1">
      <c r="A48" s="120"/>
      <c r="B48" s="120" t="s">
        <v>77</v>
      </c>
      <c r="C48" s="121"/>
      <c r="D48" s="68" t="s">
        <v>78</v>
      </c>
      <c r="E48" s="149">
        <f>E49</f>
        <v>45000</v>
      </c>
      <c r="F48" s="150">
        <f>F49</f>
        <v>0</v>
      </c>
      <c r="G48" s="150">
        <f>G49</f>
        <v>0</v>
      </c>
      <c r="H48" s="149">
        <f>H49</f>
        <v>45000</v>
      </c>
    </row>
    <row r="49" spans="1:8" s="43" customFormat="1" ht="48" customHeight="1">
      <c r="A49" s="120"/>
      <c r="B49" s="120"/>
      <c r="C49" s="122">
        <v>2320</v>
      </c>
      <c r="D49" s="68" t="s">
        <v>365</v>
      </c>
      <c r="E49" s="149">
        <v>45000</v>
      </c>
      <c r="F49" s="148"/>
      <c r="G49" s="148"/>
      <c r="H49" s="205">
        <f>SUM(E49+F49-G49)</f>
        <v>45000</v>
      </c>
    </row>
    <row r="50" spans="1:8" s="43" customFormat="1" ht="24" customHeight="1" hidden="1">
      <c r="A50" s="120"/>
      <c r="B50" s="120">
        <v>92118</v>
      </c>
      <c r="C50" s="120"/>
      <c r="D50" s="119" t="s">
        <v>163</v>
      </c>
      <c r="E50" s="149">
        <f>SUM(E51)</f>
        <v>0</v>
      </c>
      <c r="F50" s="150">
        <f>SUM(F51)</f>
        <v>0</v>
      </c>
      <c r="G50" s="150">
        <f>SUM(G51)</f>
        <v>0</v>
      </c>
      <c r="H50" s="149">
        <f>SUM(H51)</f>
        <v>0</v>
      </c>
    </row>
    <row r="51" spans="1:8" s="43" customFormat="1" ht="47.25" customHeight="1" hidden="1">
      <c r="A51" s="120"/>
      <c r="B51" s="120"/>
      <c r="C51" s="120">
        <v>2320</v>
      </c>
      <c r="D51" s="68" t="s">
        <v>365</v>
      </c>
      <c r="E51" s="149"/>
      <c r="F51" s="148"/>
      <c r="G51" s="148"/>
      <c r="H51" s="205">
        <f>SUM(E51+F51-G51)</f>
        <v>0</v>
      </c>
    </row>
    <row r="52" spans="1:8" s="72" customFormat="1" ht="24" customHeight="1" hidden="1">
      <c r="A52" s="63">
        <v>926</v>
      </c>
      <c r="B52" s="63"/>
      <c r="C52" s="63"/>
      <c r="D52" s="187" t="s">
        <v>79</v>
      </c>
      <c r="E52" s="180">
        <f>SUM(E53)</f>
        <v>0</v>
      </c>
      <c r="F52" s="118">
        <f>SUM(F53)</f>
        <v>0</v>
      </c>
      <c r="G52" s="118">
        <f>SUM(G53)</f>
        <v>0</v>
      </c>
      <c r="H52" s="180">
        <f>SUM(H53)</f>
        <v>0</v>
      </c>
    </row>
    <row r="53" spans="1:8" s="43" customFormat="1" ht="24" customHeight="1" hidden="1">
      <c r="A53" s="120"/>
      <c r="B53" s="120">
        <v>92605</v>
      </c>
      <c r="C53" s="120"/>
      <c r="D53" s="119" t="s">
        <v>80</v>
      </c>
      <c r="E53" s="149">
        <f>SUM(E54:E55)</f>
        <v>0</v>
      </c>
      <c r="F53" s="149">
        <f>SUM(F54:F55)</f>
        <v>0</v>
      </c>
      <c r="G53" s="149">
        <f>SUM(G54:G55)</f>
        <v>0</v>
      </c>
      <c r="H53" s="149">
        <f>SUM(H54:H55)</f>
        <v>0</v>
      </c>
    </row>
    <row r="54" spans="1:8" s="43" customFormat="1" ht="47.25" customHeight="1" hidden="1">
      <c r="A54" s="120"/>
      <c r="B54" s="120"/>
      <c r="C54" s="120">
        <v>2320</v>
      </c>
      <c r="D54" s="68" t="s">
        <v>365</v>
      </c>
      <c r="E54" s="149"/>
      <c r="F54" s="148"/>
      <c r="G54" s="148"/>
      <c r="H54" s="205">
        <f>SUM(E54+F54-G54)</f>
        <v>0</v>
      </c>
    </row>
    <row r="55" spans="1:8" s="43" customFormat="1" ht="40.5" customHeight="1" hidden="1">
      <c r="A55" s="120"/>
      <c r="B55" s="120"/>
      <c r="C55" s="122">
        <v>2440</v>
      </c>
      <c r="D55" s="119" t="s">
        <v>274</v>
      </c>
      <c r="E55" s="149"/>
      <c r="F55" s="148"/>
      <c r="G55" s="148"/>
      <c r="H55" s="205">
        <f>SUM(E55+F55-G55)</f>
        <v>0</v>
      </c>
    </row>
    <row r="56" spans="1:8" s="43" customFormat="1" ht="25.5" customHeight="1">
      <c r="A56" s="224"/>
      <c r="B56" s="225"/>
      <c r="C56" s="226"/>
      <c r="D56" s="165" t="s">
        <v>81</v>
      </c>
      <c r="E56" s="180">
        <f>SUM(E9,E12,E17,E20,E23,E30,E42,E45,E52)</f>
        <v>7376486</v>
      </c>
      <c r="F56" s="180">
        <f>SUM(F9,F12,F17,F20,F23,F30,F42,F45,F52)</f>
        <v>0</v>
      </c>
      <c r="G56" s="180">
        <f>SUM(G9,G12,G17,G20,G23,G30,G42,G45,G52)</f>
        <v>0</v>
      </c>
      <c r="H56" s="180">
        <f>SUM(H9,H12,H17,H20,H23,H30,H42,H45,H52)</f>
        <v>7376486</v>
      </c>
    </row>
    <row r="57" spans="1:3" ht="12.75">
      <c r="A57" s="106"/>
      <c r="B57" s="106"/>
      <c r="C57" s="106"/>
    </row>
    <row r="60" ht="12.75">
      <c r="E60" s="186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K6" sqref="K6"/>
    </sheetView>
  </sheetViews>
  <sheetFormatPr defaultColWidth="9.00390625" defaultRowHeight="12.75"/>
  <cols>
    <col min="1" max="1" width="6.00390625" style="9" customWidth="1"/>
    <col min="2" max="2" width="8.375" style="9" customWidth="1"/>
    <col min="3" max="3" width="5.00390625" style="9" bestFit="1" customWidth="1"/>
    <col min="4" max="4" width="36.625" style="9" customWidth="1"/>
    <col min="5" max="5" width="20.00390625" style="9" customWidth="1"/>
    <col min="6" max="8" width="13.75390625" style="0" hidden="1" customWidth="1"/>
  </cols>
  <sheetData>
    <row r="1" spans="5:8" ht="12.75">
      <c r="E1" s="107"/>
      <c r="F1" s="107"/>
      <c r="G1" s="107"/>
      <c r="H1" s="107"/>
    </row>
    <row r="2" spans="1:5" ht="27.75" customHeight="1">
      <c r="A2" s="393" t="s">
        <v>362</v>
      </c>
      <c r="B2" s="393"/>
      <c r="C2" s="393"/>
      <c r="D2" s="393"/>
      <c r="E2" s="221"/>
    </row>
    <row r="3" spans="1:5" ht="15" customHeight="1">
      <c r="A3" s="14"/>
      <c r="B3" s="14"/>
      <c r="C3" s="14"/>
      <c r="D3" s="62"/>
      <c r="E3" s="70"/>
    </row>
    <row r="4" spans="1:8" s="244" customFormat="1" ht="29.25" customHeight="1">
      <c r="A4" s="6" t="s">
        <v>0</v>
      </c>
      <c r="B4" s="6" t="s">
        <v>1</v>
      </c>
      <c r="C4" s="6" t="s">
        <v>2</v>
      </c>
      <c r="D4" s="6" t="s">
        <v>3</v>
      </c>
      <c r="E4" s="28" t="s">
        <v>165</v>
      </c>
      <c r="F4" s="6" t="s">
        <v>317</v>
      </c>
      <c r="G4" s="6" t="s">
        <v>310</v>
      </c>
      <c r="H4" s="203" t="s">
        <v>165</v>
      </c>
    </row>
    <row r="5" spans="1:8" ht="21.75" customHeight="1">
      <c r="A5" s="153" t="s">
        <v>298</v>
      </c>
      <c r="B5" s="154"/>
      <c r="C5" s="154"/>
      <c r="D5" s="154"/>
      <c r="E5" s="29">
        <f>SUM(E6,E19,E26)</f>
        <v>4748232</v>
      </c>
      <c r="F5" s="29">
        <f>SUM(F6,F19,F26)</f>
        <v>0</v>
      </c>
      <c r="G5" s="29">
        <f>SUM(G6,G19,G26)</f>
        <v>0</v>
      </c>
      <c r="H5" s="29">
        <f>SUM(H6,H19,H26)</f>
        <v>4748232</v>
      </c>
    </row>
    <row r="6" spans="1:8" s="9" customFormat="1" ht="21.75" customHeight="1">
      <c r="A6" s="60">
        <v>801</v>
      </c>
      <c r="B6" s="6"/>
      <c r="C6" s="22"/>
      <c r="D6" s="36" t="s">
        <v>127</v>
      </c>
      <c r="E6" s="29">
        <f>SUM(E7,E10,E13,E16)</f>
        <v>2925242</v>
      </c>
      <c r="F6" s="29">
        <f>SUM(F7,F10,F13,F16)</f>
        <v>0</v>
      </c>
      <c r="G6" s="29">
        <f>SUM(G7,G10,G13,G16)</f>
        <v>0</v>
      </c>
      <c r="H6" s="29">
        <f>SUM(H7,H10,H13,H16)</f>
        <v>2925242</v>
      </c>
    </row>
    <row r="7" spans="1:8" s="9" customFormat="1" ht="21.75" customHeight="1">
      <c r="A7" s="3"/>
      <c r="B7" s="4">
        <v>80101</v>
      </c>
      <c r="C7" s="16"/>
      <c r="D7" s="17" t="s">
        <v>62</v>
      </c>
      <c r="E7" s="30">
        <f aca="true" t="shared" si="0" ref="E7:H8">SUM(E8)</f>
        <v>211428</v>
      </c>
      <c r="F7" s="30">
        <f t="shared" si="0"/>
        <v>0</v>
      </c>
      <c r="G7" s="30">
        <f t="shared" si="0"/>
        <v>0</v>
      </c>
      <c r="H7" s="30">
        <f t="shared" si="0"/>
        <v>211428</v>
      </c>
    </row>
    <row r="8" spans="1:8" s="243" customFormat="1" ht="22.5">
      <c r="A8" s="241"/>
      <c r="B8" s="242"/>
      <c r="C8" s="137">
        <v>2540</v>
      </c>
      <c r="D8" s="23" t="s">
        <v>272</v>
      </c>
      <c r="E8" s="141">
        <f>SUM(E9)</f>
        <v>211428</v>
      </c>
      <c r="F8" s="141">
        <f t="shared" si="0"/>
        <v>0</v>
      </c>
      <c r="G8" s="141">
        <f t="shared" si="0"/>
        <v>0</v>
      </c>
      <c r="H8" s="141">
        <v>211428</v>
      </c>
    </row>
    <row r="9" spans="1:8" s="20" customFormat="1" ht="21.75" customHeight="1">
      <c r="A9" s="395" t="s">
        <v>322</v>
      </c>
      <c r="B9" s="395"/>
      <c r="C9" s="395"/>
      <c r="D9" s="395"/>
      <c r="E9" s="247">
        <v>211428</v>
      </c>
      <c r="F9" s="148"/>
      <c r="G9" s="197"/>
      <c r="H9" s="183">
        <f>SUM(E9+F9-G9)</f>
        <v>211428</v>
      </c>
    </row>
    <row r="10" spans="1:8" s="9" customFormat="1" ht="27.75" customHeight="1">
      <c r="A10" s="60"/>
      <c r="B10" s="10">
        <v>80103</v>
      </c>
      <c r="C10" s="4"/>
      <c r="D10" s="17" t="s">
        <v>340</v>
      </c>
      <c r="E10" s="30">
        <f>SUM(E11)</f>
        <v>68080</v>
      </c>
      <c r="F10" s="30">
        <f>SUM(F11)</f>
        <v>0</v>
      </c>
      <c r="G10" s="30">
        <f>SUM(G11)</f>
        <v>0</v>
      </c>
      <c r="H10" s="30">
        <f>SUM(H11)</f>
        <v>68080</v>
      </c>
    </row>
    <row r="11" spans="1:8" s="43" customFormat="1" ht="24.75" customHeight="1">
      <c r="A11" s="137"/>
      <c r="B11" s="137"/>
      <c r="C11" s="137">
        <v>2540</v>
      </c>
      <c r="D11" s="23" t="s">
        <v>272</v>
      </c>
      <c r="E11" s="184">
        <f>E12</f>
        <v>68080</v>
      </c>
      <c r="F11" s="184">
        <f>SUM(F12)</f>
        <v>0</v>
      </c>
      <c r="G11" s="184">
        <f>SUM(G12)</f>
        <v>0</v>
      </c>
      <c r="H11" s="184">
        <f>SUM(H12)</f>
        <v>68080</v>
      </c>
    </row>
    <row r="12" spans="1:8" s="20" customFormat="1" ht="30" customHeight="1">
      <c r="A12" s="396" t="s">
        <v>302</v>
      </c>
      <c r="B12" s="397"/>
      <c r="C12" s="397"/>
      <c r="D12" s="398"/>
      <c r="E12" s="248">
        <v>68080</v>
      </c>
      <c r="F12" s="197"/>
      <c r="G12" s="183"/>
      <c r="H12" s="183">
        <f>SUM(E12+F12-G12)</f>
        <v>68080</v>
      </c>
    </row>
    <row r="13" spans="1:8" s="9" customFormat="1" ht="21.75" customHeight="1">
      <c r="A13" s="60"/>
      <c r="B13" s="10">
        <v>80104</v>
      </c>
      <c r="C13" s="4"/>
      <c r="D13" s="17" t="s">
        <v>142</v>
      </c>
      <c r="E13" s="30">
        <f aca="true" t="shared" si="1" ref="E13:H14">SUM(E14)</f>
        <v>2635055</v>
      </c>
      <c r="F13" s="30">
        <f t="shared" si="1"/>
        <v>0</v>
      </c>
      <c r="G13" s="30">
        <f t="shared" si="1"/>
        <v>0</v>
      </c>
      <c r="H13" s="30">
        <f t="shared" si="1"/>
        <v>2635055</v>
      </c>
    </row>
    <row r="14" spans="1:8" s="43" customFormat="1" ht="22.5">
      <c r="A14" s="164"/>
      <c r="B14" s="126"/>
      <c r="C14" s="89">
        <v>2510</v>
      </c>
      <c r="D14" s="23" t="s">
        <v>143</v>
      </c>
      <c r="E14" s="141">
        <f t="shared" si="1"/>
        <v>2635055</v>
      </c>
      <c r="F14" s="141">
        <f t="shared" si="1"/>
        <v>0</v>
      </c>
      <c r="G14" s="141">
        <f t="shared" si="1"/>
        <v>0</v>
      </c>
      <c r="H14" s="141">
        <f t="shared" si="1"/>
        <v>2635055</v>
      </c>
    </row>
    <row r="15" spans="1:8" s="20" customFormat="1" ht="21.75" customHeight="1">
      <c r="A15" s="395" t="s">
        <v>173</v>
      </c>
      <c r="B15" s="395"/>
      <c r="C15" s="395"/>
      <c r="D15" s="395"/>
      <c r="E15" s="227">
        <v>2635055</v>
      </c>
      <c r="F15" s="197"/>
      <c r="G15" s="183"/>
      <c r="H15" s="141">
        <v>2635055</v>
      </c>
    </row>
    <row r="16" spans="1:8" s="9" customFormat="1" ht="25.5" customHeight="1">
      <c r="A16" s="60"/>
      <c r="B16" s="3">
        <v>80146</v>
      </c>
      <c r="C16" s="4"/>
      <c r="D16" s="53" t="s">
        <v>196</v>
      </c>
      <c r="E16" s="163">
        <f aca="true" t="shared" si="2" ref="E16:H17">SUM(E17)</f>
        <v>10679</v>
      </c>
      <c r="F16" s="163">
        <f t="shared" si="2"/>
        <v>0</v>
      </c>
      <c r="G16" s="163">
        <f t="shared" si="2"/>
        <v>0</v>
      </c>
      <c r="H16" s="163">
        <f t="shared" si="2"/>
        <v>10679</v>
      </c>
    </row>
    <row r="17" spans="1:8" s="43" customFormat="1" ht="22.5">
      <c r="A17" s="164"/>
      <c r="B17" s="126"/>
      <c r="C17" s="89">
        <v>2510</v>
      </c>
      <c r="D17" s="23" t="s">
        <v>143</v>
      </c>
      <c r="E17" s="184">
        <v>10679</v>
      </c>
      <c r="F17" s="184">
        <f t="shared" si="2"/>
        <v>0</v>
      </c>
      <c r="G17" s="184">
        <f t="shared" si="2"/>
        <v>0</v>
      </c>
      <c r="H17" s="184">
        <v>10679</v>
      </c>
    </row>
    <row r="18" spans="1:8" s="20" customFormat="1" ht="21.75" customHeight="1">
      <c r="A18" s="395" t="s">
        <v>173</v>
      </c>
      <c r="B18" s="395"/>
      <c r="C18" s="395"/>
      <c r="D18" s="395"/>
      <c r="E18" s="247">
        <v>10679</v>
      </c>
      <c r="F18" s="197"/>
      <c r="G18" s="197"/>
      <c r="H18" s="183">
        <f>SUM(E18+F18-G18)</f>
        <v>10679</v>
      </c>
    </row>
    <row r="19" spans="1:8" s="72" customFormat="1" ht="21.75" customHeight="1">
      <c r="A19" s="21">
        <v>854</v>
      </c>
      <c r="B19" s="21"/>
      <c r="C19" s="21"/>
      <c r="D19" s="21" t="s">
        <v>71</v>
      </c>
      <c r="E19" s="262">
        <f>E20+E23</f>
        <v>228650</v>
      </c>
      <c r="F19" s="262">
        <f>F20+F23</f>
        <v>0</v>
      </c>
      <c r="G19" s="262">
        <f>G20+G23</f>
        <v>0</v>
      </c>
      <c r="H19" s="262">
        <f>H20+H23</f>
        <v>228650</v>
      </c>
    </row>
    <row r="20" spans="1:8" s="9" customFormat="1" ht="21.75" customHeight="1">
      <c r="A20" s="192"/>
      <c r="B20" s="3">
        <v>85495</v>
      </c>
      <c r="C20" s="3"/>
      <c r="D20" s="17" t="s">
        <v>6</v>
      </c>
      <c r="E20" s="103">
        <f aca="true" t="shared" si="3" ref="E20:H21">SUM(E21)</f>
        <v>200000</v>
      </c>
      <c r="F20" s="103">
        <f t="shared" si="3"/>
        <v>0</v>
      </c>
      <c r="G20" s="103">
        <f t="shared" si="3"/>
        <v>0</v>
      </c>
      <c r="H20" s="103">
        <f t="shared" si="3"/>
        <v>200000</v>
      </c>
    </row>
    <row r="21" spans="1:8" s="43" customFormat="1" ht="52.5" customHeight="1">
      <c r="A21" s="229"/>
      <c r="B21" s="126"/>
      <c r="C21" s="126">
        <v>2320</v>
      </c>
      <c r="D21" s="68" t="s">
        <v>202</v>
      </c>
      <c r="E21" s="240">
        <f t="shared" si="3"/>
        <v>200000</v>
      </c>
      <c r="F21" s="240">
        <f t="shared" si="3"/>
        <v>0</v>
      </c>
      <c r="G21" s="240">
        <f t="shared" si="3"/>
        <v>0</v>
      </c>
      <c r="H21" s="240">
        <f t="shared" si="3"/>
        <v>200000</v>
      </c>
    </row>
    <row r="22" spans="1:8" s="20" customFormat="1" ht="29.25" customHeight="1">
      <c r="A22" s="394" t="s">
        <v>174</v>
      </c>
      <c r="B22" s="394"/>
      <c r="C22" s="394"/>
      <c r="D22" s="394"/>
      <c r="E22" s="211">
        <v>200000</v>
      </c>
      <c r="F22" s="211"/>
      <c r="G22" s="211"/>
      <c r="H22" s="183">
        <f>SUM(E22+F22-G22)</f>
        <v>200000</v>
      </c>
    </row>
    <row r="23" spans="1:8" s="20" customFormat="1" ht="21.75" customHeight="1">
      <c r="A23" s="192"/>
      <c r="B23" s="3">
        <v>85495</v>
      </c>
      <c r="C23" s="3"/>
      <c r="D23" s="17" t="s">
        <v>6</v>
      </c>
      <c r="E23" s="103">
        <f aca="true" t="shared" si="4" ref="E23:H24">SUM(E24)</f>
        <v>28650</v>
      </c>
      <c r="F23" s="103">
        <f t="shared" si="4"/>
        <v>0</v>
      </c>
      <c r="G23" s="103">
        <f t="shared" si="4"/>
        <v>0</v>
      </c>
      <c r="H23" s="103">
        <f t="shared" si="4"/>
        <v>28650</v>
      </c>
    </row>
    <row r="24" spans="1:8" s="20" customFormat="1" ht="51.75" customHeight="1">
      <c r="A24" s="229"/>
      <c r="B24" s="126"/>
      <c r="C24" s="126">
        <v>2320</v>
      </c>
      <c r="D24" s="68" t="s">
        <v>202</v>
      </c>
      <c r="E24" s="240">
        <f t="shared" si="4"/>
        <v>28650</v>
      </c>
      <c r="F24" s="240">
        <f t="shared" si="4"/>
        <v>0</v>
      </c>
      <c r="G24" s="240">
        <f t="shared" si="4"/>
        <v>0</v>
      </c>
      <c r="H24" s="240">
        <f t="shared" si="4"/>
        <v>28650</v>
      </c>
    </row>
    <row r="25" spans="1:8" s="20" customFormat="1" ht="21.75" customHeight="1">
      <c r="A25" s="394" t="s">
        <v>374</v>
      </c>
      <c r="B25" s="394"/>
      <c r="C25" s="394"/>
      <c r="D25" s="394"/>
      <c r="E25" s="212">
        <v>28650</v>
      </c>
      <c r="F25" s="168"/>
      <c r="G25" s="197"/>
      <c r="H25" s="183">
        <f>SUM(E25+F25-G25)</f>
        <v>28650</v>
      </c>
    </row>
    <row r="26" spans="1:8" s="9" customFormat="1" ht="27.75" customHeight="1">
      <c r="A26" s="60" t="s">
        <v>76</v>
      </c>
      <c r="B26" s="6"/>
      <c r="C26" s="38"/>
      <c r="D26" s="36" t="s">
        <v>159</v>
      </c>
      <c r="E26" s="29">
        <f>SUM(E27,E32,E34,E37)</f>
        <v>1594340</v>
      </c>
      <c r="F26" s="29">
        <f>SUM(F27,F32,F34,F37)</f>
        <v>0</v>
      </c>
      <c r="G26" s="29">
        <f>SUM(G27,G32,G34,G37)</f>
        <v>0</v>
      </c>
      <c r="H26" s="29">
        <f>SUM(H27,H32,H34,H37)</f>
        <v>1594340</v>
      </c>
    </row>
    <row r="27" spans="1:8" s="9" customFormat="1" ht="22.5" customHeight="1">
      <c r="A27" s="3"/>
      <c r="B27" s="3" t="s">
        <v>160</v>
      </c>
      <c r="C27" s="5"/>
      <c r="D27" s="17" t="s">
        <v>200</v>
      </c>
      <c r="E27" s="30">
        <f>SUM(E28)</f>
        <v>387940</v>
      </c>
      <c r="F27" s="30">
        <f>SUM(F28)</f>
        <v>0</v>
      </c>
      <c r="G27" s="30">
        <f>SUM(G28)</f>
        <v>0</v>
      </c>
      <c r="H27" s="30">
        <f>SUM(H28)</f>
        <v>387940</v>
      </c>
    </row>
    <row r="28" spans="1:8" s="43" customFormat="1" ht="24.75" customHeight="1">
      <c r="A28" s="126"/>
      <c r="B28" s="126"/>
      <c r="C28" s="89">
        <v>2480</v>
      </c>
      <c r="D28" s="23" t="s">
        <v>290</v>
      </c>
      <c r="E28" s="141">
        <v>387940</v>
      </c>
      <c r="F28" s="141">
        <f>SUM(F31)</f>
        <v>0</v>
      </c>
      <c r="G28" s="141">
        <f>SUM(G31)</f>
        <v>0</v>
      </c>
      <c r="H28" s="141">
        <v>387940</v>
      </c>
    </row>
    <row r="29" spans="1:8" s="9" customFormat="1" ht="24" customHeight="1" hidden="1">
      <c r="A29" s="3"/>
      <c r="B29" s="3" t="s">
        <v>160</v>
      </c>
      <c r="C29" s="5"/>
      <c r="D29" s="17" t="s">
        <v>335</v>
      </c>
      <c r="E29" s="163"/>
      <c r="F29" s="30"/>
      <c r="G29" s="30"/>
      <c r="H29" s="30">
        <f>SUM(H30)</f>
        <v>0</v>
      </c>
    </row>
    <row r="30" spans="1:8" s="43" customFormat="1" ht="29.25" customHeight="1" hidden="1">
      <c r="A30" s="126"/>
      <c r="B30" s="126"/>
      <c r="C30" s="89">
        <v>2480</v>
      </c>
      <c r="D30" s="23" t="s">
        <v>290</v>
      </c>
      <c r="E30" s="184"/>
      <c r="F30" s="141"/>
      <c r="G30" s="141"/>
      <c r="H30" s="141">
        <v>0</v>
      </c>
    </row>
    <row r="31" spans="1:8" s="20" customFormat="1" ht="21.75" customHeight="1">
      <c r="A31" s="394" t="s">
        <v>175</v>
      </c>
      <c r="B31" s="405"/>
      <c r="C31" s="405"/>
      <c r="D31" s="405"/>
      <c r="E31" s="212">
        <v>387940</v>
      </c>
      <c r="F31" s="249"/>
      <c r="G31" s="249"/>
      <c r="H31" s="183">
        <f>SUM(E31+F31-G31)</f>
        <v>387940</v>
      </c>
    </row>
    <row r="32" spans="1:8" s="9" customFormat="1" ht="21.75" customHeight="1">
      <c r="A32" s="3"/>
      <c r="B32" s="3" t="s">
        <v>77</v>
      </c>
      <c r="C32" s="5"/>
      <c r="D32" s="17" t="s">
        <v>78</v>
      </c>
      <c r="E32" s="30">
        <f>SUM(E33:E33)</f>
        <v>810480</v>
      </c>
      <c r="F32" s="30">
        <f>SUM(F33:F33)</f>
        <v>0</v>
      </c>
      <c r="G32" s="30">
        <f>SUM(G33:G33)</f>
        <v>0</v>
      </c>
      <c r="H32" s="30">
        <f>SUM(H33:H33)</f>
        <v>810480</v>
      </c>
    </row>
    <row r="33" spans="1:8" s="43" customFormat="1" ht="25.5" customHeight="1">
      <c r="A33" s="126"/>
      <c r="B33" s="126"/>
      <c r="C33" s="89">
        <v>2480</v>
      </c>
      <c r="D33" s="23" t="s">
        <v>290</v>
      </c>
      <c r="E33" s="141">
        <v>810480</v>
      </c>
      <c r="F33" s="155"/>
      <c r="G33" s="201"/>
      <c r="H33" s="148">
        <f>SUM(E33+F33-G33)</f>
        <v>810480</v>
      </c>
    </row>
    <row r="34" spans="1:8" s="9" customFormat="1" ht="21.75" customHeight="1">
      <c r="A34" s="3"/>
      <c r="B34" s="3" t="s">
        <v>77</v>
      </c>
      <c r="C34" s="5"/>
      <c r="D34" s="17" t="s">
        <v>291</v>
      </c>
      <c r="E34" s="163">
        <f>SUM(E35)</f>
        <v>45000</v>
      </c>
      <c r="F34" s="163">
        <f>SUM(F35)</f>
        <v>0</v>
      </c>
      <c r="G34" s="163">
        <f>SUM(G35)</f>
        <v>0</v>
      </c>
      <c r="H34" s="163">
        <f>SUM(H35)</f>
        <v>45000</v>
      </c>
    </row>
    <row r="35" spans="1:8" s="43" customFormat="1" ht="26.25" customHeight="1">
      <c r="A35" s="126"/>
      <c r="B35" s="126"/>
      <c r="C35" s="89">
        <v>2480</v>
      </c>
      <c r="D35" s="23" t="s">
        <v>290</v>
      </c>
      <c r="E35" s="184">
        <v>45000</v>
      </c>
      <c r="F35" s="201"/>
      <c r="G35" s="201"/>
      <c r="H35" s="148">
        <f>SUM(E35+F35-G35)</f>
        <v>45000</v>
      </c>
    </row>
    <row r="36" spans="1:8" s="152" customFormat="1" ht="20.25" customHeight="1">
      <c r="A36" s="403" t="s">
        <v>176</v>
      </c>
      <c r="B36" s="404"/>
      <c r="C36" s="404"/>
      <c r="D36" s="404"/>
      <c r="E36" s="212">
        <f>SUM(E32,E34,)</f>
        <v>855480</v>
      </c>
      <c r="F36" s="212">
        <f>SUM(F32,F34,)</f>
        <v>0</v>
      </c>
      <c r="G36" s="212">
        <f>SUM(G32,G34,)</f>
        <v>0</v>
      </c>
      <c r="H36" s="183">
        <f>SUM(E36+F36-G36)</f>
        <v>855480</v>
      </c>
    </row>
    <row r="37" spans="1:8" s="9" customFormat="1" ht="18.75" customHeight="1">
      <c r="A37" s="3"/>
      <c r="B37" s="3" t="s">
        <v>162</v>
      </c>
      <c r="C37" s="4"/>
      <c r="D37" s="17" t="s">
        <v>163</v>
      </c>
      <c r="E37" s="30">
        <f>E38</f>
        <v>350920</v>
      </c>
      <c r="F37" s="30">
        <f>F38</f>
        <v>0</v>
      </c>
      <c r="G37" s="30">
        <f>G38</f>
        <v>0</v>
      </c>
      <c r="H37" s="30">
        <f>H38</f>
        <v>350920</v>
      </c>
    </row>
    <row r="38" spans="1:8" s="43" customFormat="1" ht="22.5">
      <c r="A38" s="126"/>
      <c r="B38" s="126"/>
      <c r="C38" s="89">
        <v>2480</v>
      </c>
      <c r="D38" s="23" t="s">
        <v>290</v>
      </c>
      <c r="E38" s="141">
        <v>350920</v>
      </c>
      <c r="F38" s="141">
        <f>SUM(F41)</f>
        <v>0</v>
      </c>
      <c r="G38" s="141">
        <f>SUM(G41)</f>
        <v>0</v>
      </c>
      <c r="H38" s="141">
        <f>SUM(H41)</f>
        <v>350920</v>
      </c>
    </row>
    <row r="39" spans="1:8" s="9" customFormat="1" ht="19.5" customHeight="1" hidden="1">
      <c r="A39" s="3"/>
      <c r="B39" s="3" t="s">
        <v>162</v>
      </c>
      <c r="C39" s="4"/>
      <c r="D39" s="17" t="s">
        <v>334</v>
      </c>
      <c r="E39" s="30"/>
      <c r="F39" s="30"/>
      <c r="G39" s="30"/>
      <c r="H39" s="30">
        <f>SUM(H40)</f>
        <v>0</v>
      </c>
    </row>
    <row r="40" spans="1:8" s="43" customFormat="1" ht="24" customHeight="1" hidden="1">
      <c r="A40" s="126"/>
      <c r="B40" s="126"/>
      <c r="C40" s="89">
        <v>2480</v>
      </c>
      <c r="D40" s="23" t="s">
        <v>290</v>
      </c>
      <c r="E40" s="141"/>
      <c r="F40" s="141"/>
      <c r="G40" s="141"/>
      <c r="H40" s="141">
        <v>0</v>
      </c>
    </row>
    <row r="41" spans="1:8" s="152" customFormat="1" ht="24" customHeight="1">
      <c r="A41" s="400" t="s">
        <v>177</v>
      </c>
      <c r="B41" s="401"/>
      <c r="C41" s="401"/>
      <c r="D41" s="402"/>
      <c r="E41" s="212">
        <v>350920</v>
      </c>
      <c r="F41" s="250"/>
      <c r="G41" s="250"/>
      <c r="H41" s="183">
        <f>SUM(E41+F41-G41)</f>
        <v>350920</v>
      </c>
    </row>
    <row r="42" spans="1:8" s="202" customFormat="1" ht="21.75" customHeight="1">
      <c r="A42" s="399" t="s">
        <v>81</v>
      </c>
      <c r="B42" s="399"/>
      <c r="C42" s="399"/>
      <c r="D42" s="399"/>
      <c r="E42" s="74">
        <f>E6+E19+E26</f>
        <v>4748232</v>
      </c>
      <c r="F42" s="74">
        <f>F6+F20+F25+F26</f>
        <v>0</v>
      </c>
      <c r="G42" s="74">
        <f>G6+G20+G25+G26</f>
        <v>0</v>
      </c>
      <c r="H42" s="74">
        <f>H6+H20+H25+H26</f>
        <v>4748232</v>
      </c>
    </row>
    <row r="45" ht="12.75">
      <c r="E45" s="51"/>
    </row>
    <row r="75" ht="12.75">
      <c r="E75" s="51"/>
    </row>
    <row r="76" ht="12.75">
      <c r="E76" s="51"/>
    </row>
    <row r="77" ht="12.75">
      <c r="E77" s="51"/>
    </row>
    <row r="78" ht="12.75">
      <c r="E78" s="51"/>
    </row>
  </sheetData>
  <mergeCells count="11">
    <mergeCell ref="A42:D42"/>
    <mergeCell ref="A41:D41"/>
    <mergeCell ref="A36:D36"/>
    <mergeCell ref="A31:D31"/>
    <mergeCell ref="A2:D2"/>
    <mergeCell ref="A25:D25"/>
    <mergeCell ref="A15:D15"/>
    <mergeCell ref="A22:D22"/>
    <mergeCell ref="A9:D9"/>
    <mergeCell ref="A18:D18"/>
    <mergeCell ref="A12:D12"/>
  </mergeCells>
  <printOptions horizontalCentered="1"/>
  <pageMargins left="0.5118110236220472" right="0.5118110236220472" top="0.787401574803149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J60"/>
  <sheetViews>
    <sheetView workbookViewId="0" topLeftCell="A1">
      <selection activeCell="A6" sqref="A6:D6"/>
    </sheetView>
  </sheetViews>
  <sheetFormatPr defaultColWidth="9.00390625" defaultRowHeight="12.75"/>
  <cols>
    <col min="1" max="1" width="6.25390625" style="9" customWidth="1"/>
    <col min="2" max="2" width="8.75390625" style="9" customWidth="1"/>
    <col min="3" max="3" width="5.875" style="9" customWidth="1"/>
    <col min="4" max="4" width="31.00390625" style="9" customWidth="1"/>
    <col min="5" max="5" width="22.00390625" style="0" customWidth="1"/>
    <col min="6" max="6" width="12.125" style="0" hidden="1" customWidth="1"/>
    <col min="7" max="7" width="11.375" style="0" hidden="1" customWidth="1"/>
    <col min="8" max="8" width="11.25390625" style="0" hidden="1" customWidth="1"/>
  </cols>
  <sheetData>
    <row r="1" spans="5:9" ht="12.75">
      <c r="E1" s="107" t="s">
        <v>189</v>
      </c>
      <c r="F1" s="107"/>
      <c r="G1" s="107"/>
      <c r="H1" s="107"/>
      <c r="I1" s="222"/>
    </row>
    <row r="2" spans="4:9" ht="12.75">
      <c r="D2" s="9" t="s">
        <v>351</v>
      </c>
      <c r="E2" s="107" t="s">
        <v>227</v>
      </c>
      <c r="F2" s="107"/>
      <c r="G2" s="107"/>
      <c r="H2" s="107"/>
      <c r="I2" s="222"/>
    </row>
    <row r="3" spans="4:9" ht="12.75">
      <c r="D3" s="9" t="s">
        <v>348</v>
      </c>
      <c r="E3" s="107" t="s">
        <v>192</v>
      </c>
      <c r="F3" s="107"/>
      <c r="G3" s="107"/>
      <c r="H3" s="107"/>
      <c r="I3" s="222"/>
    </row>
    <row r="4" spans="5:9" ht="12.75">
      <c r="E4" s="107" t="s">
        <v>284</v>
      </c>
      <c r="F4" s="107"/>
      <c r="G4" s="107"/>
      <c r="H4" s="107"/>
      <c r="I4" s="222"/>
    </row>
    <row r="5" ht="12.75">
      <c r="I5" s="222"/>
    </row>
    <row r="6" spans="1:9" ht="50.25" customHeight="1">
      <c r="A6" s="406" t="s">
        <v>434</v>
      </c>
      <c r="B6" s="406"/>
      <c r="C6" s="406"/>
      <c r="D6" s="406"/>
      <c r="I6" s="222"/>
    </row>
    <row r="7" spans="1:9" ht="14.25" customHeight="1">
      <c r="A7" s="73"/>
      <c r="B7" s="73"/>
      <c r="C7" s="73"/>
      <c r="D7" s="73"/>
      <c r="I7" s="222"/>
    </row>
    <row r="8" spans="1:9" s="9" customFormat="1" ht="24.75" customHeight="1">
      <c r="A8" s="21" t="s">
        <v>0</v>
      </c>
      <c r="B8" s="21" t="s">
        <v>1</v>
      </c>
      <c r="C8" s="21" t="s">
        <v>2</v>
      </c>
      <c r="D8" s="27" t="s">
        <v>3</v>
      </c>
      <c r="E8" s="203" t="s">
        <v>165</v>
      </c>
      <c r="F8" s="6" t="s">
        <v>317</v>
      </c>
      <c r="G8" s="6" t="s">
        <v>310</v>
      </c>
      <c r="H8" s="203" t="s">
        <v>326</v>
      </c>
      <c r="I8" s="106"/>
    </row>
    <row r="9" spans="1:9" s="43" customFormat="1" ht="24.75" customHeight="1">
      <c r="A9" s="60" t="s">
        <v>18</v>
      </c>
      <c r="B9" s="6"/>
      <c r="C9" s="38"/>
      <c r="D9" s="58" t="s">
        <v>19</v>
      </c>
      <c r="E9" s="74">
        <f>SUM(E10)</f>
        <v>144800</v>
      </c>
      <c r="F9" s="74">
        <f>SUM(F10)</f>
        <v>0</v>
      </c>
      <c r="G9" s="74">
        <f>SUM(G10)</f>
        <v>0</v>
      </c>
      <c r="H9" s="74">
        <f>SUM(H10)</f>
        <v>144800</v>
      </c>
      <c r="I9" s="228"/>
    </row>
    <row r="10" spans="1:9" s="43" customFormat="1" ht="24.75" customHeight="1">
      <c r="A10" s="126"/>
      <c r="B10" s="126">
        <v>75011</v>
      </c>
      <c r="C10" s="135"/>
      <c r="D10" s="132" t="s">
        <v>20</v>
      </c>
      <c r="E10" s="148">
        <f>SUM(E11:E15)</f>
        <v>144800</v>
      </c>
      <c r="F10" s="148">
        <f>SUM(F11:F15)</f>
        <v>0</v>
      </c>
      <c r="G10" s="148">
        <f>SUM(G11:G15)</f>
        <v>0</v>
      </c>
      <c r="H10" s="148">
        <f>SUM(H11:H15)</f>
        <v>144800</v>
      </c>
      <c r="I10" s="228"/>
    </row>
    <row r="11" spans="1:9" s="43" customFormat="1" ht="21.75" customHeight="1">
      <c r="A11" s="126"/>
      <c r="B11" s="89"/>
      <c r="C11" s="127">
        <v>4010</v>
      </c>
      <c r="D11" s="132" t="s">
        <v>98</v>
      </c>
      <c r="E11" s="148">
        <v>102150</v>
      </c>
      <c r="F11" s="148"/>
      <c r="G11" s="148"/>
      <c r="H11" s="148">
        <f>SUM(E11+F11-G11)</f>
        <v>102150</v>
      </c>
      <c r="I11" s="228"/>
    </row>
    <row r="12" spans="1:9" s="43" customFormat="1" ht="21.75" customHeight="1">
      <c r="A12" s="126"/>
      <c r="B12" s="89"/>
      <c r="C12" s="127">
        <v>4040</v>
      </c>
      <c r="D12" s="132" t="s">
        <v>99</v>
      </c>
      <c r="E12" s="148">
        <v>16000</v>
      </c>
      <c r="F12" s="148"/>
      <c r="G12" s="148"/>
      <c r="H12" s="148">
        <f>SUM(E12+F12-G12)</f>
        <v>16000</v>
      </c>
      <c r="I12" s="228"/>
    </row>
    <row r="13" spans="1:9" s="43" customFormat="1" ht="21.75" customHeight="1">
      <c r="A13" s="126"/>
      <c r="B13" s="89"/>
      <c r="C13" s="127">
        <v>4110</v>
      </c>
      <c r="D13" s="132" t="s">
        <v>100</v>
      </c>
      <c r="E13" s="148">
        <v>17500</v>
      </c>
      <c r="F13" s="148"/>
      <c r="G13" s="148"/>
      <c r="H13" s="148">
        <f>SUM(E13+F13-G13)</f>
        <v>17500</v>
      </c>
      <c r="I13" s="228"/>
    </row>
    <row r="14" spans="1:9" s="43" customFormat="1" ht="21.75" customHeight="1">
      <c r="A14" s="126"/>
      <c r="B14" s="89"/>
      <c r="C14" s="127">
        <v>4120</v>
      </c>
      <c r="D14" s="132" t="s">
        <v>101</v>
      </c>
      <c r="E14" s="148">
        <v>2500</v>
      </c>
      <c r="F14" s="148"/>
      <c r="G14" s="148"/>
      <c r="H14" s="148">
        <f>SUM(E14+F14-G14)</f>
        <v>2500</v>
      </c>
      <c r="I14" s="228"/>
    </row>
    <row r="15" spans="1:9" s="43" customFormat="1" ht="21.75" customHeight="1">
      <c r="A15" s="126"/>
      <c r="B15" s="89"/>
      <c r="C15" s="128">
        <v>4440</v>
      </c>
      <c r="D15" s="132" t="s">
        <v>102</v>
      </c>
      <c r="E15" s="148">
        <v>6650</v>
      </c>
      <c r="F15" s="148"/>
      <c r="G15" s="148"/>
      <c r="H15" s="148">
        <f>SUM(E15+F15-G15)</f>
        <v>6650</v>
      </c>
      <c r="I15" s="228"/>
    </row>
    <row r="16" spans="1:9" s="43" customFormat="1" ht="52.5" customHeight="1">
      <c r="A16" s="60">
        <v>751</v>
      </c>
      <c r="B16" s="6"/>
      <c r="C16" s="38"/>
      <c r="D16" s="58" t="s">
        <v>23</v>
      </c>
      <c r="E16" s="74">
        <f>E17</f>
        <v>3930</v>
      </c>
      <c r="F16" s="74">
        <f>F17</f>
        <v>0</v>
      </c>
      <c r="G16" s="74">
        <f>G17</f>
        <v>0</v>
      </c>
      <c r="H16" s="74">
        <f>H17</f>
        <v>3930</v>
      </c>
      <c r="I16" s="228"/>
    </row>
    <row r="17" spans="1:9" s="43" customFormat="1" ht="26.25" customHeight="1">
      <c r="A17" s="89"/>
      <c r="B17" s="126">
        <v>75101</v>
      </c>
      <c r="C17" s="135"/>
      <c r="D17" s="132" t="s">
        <v>24</v>
      </c>
      <c r="E17" s="148">
        <f>SUM(E18:E19)</f>
        <v>3930</v>
      </c>
      <c r="F17" s="148">
        <f>SUM(F18:F19)</f>
        <v>0</v>
      </c>
      <c r="G17" s="148">
        <f>SUM(G18:G19)</f>
        <v>0</v>
      </c>
      <c r="H17" s="148">
        <f>SUM(H18:H19)</f>
        <v>3930</v>
      </c>
      <c r="I17" s="228"/>
    </row>
    <row r="18" spans="1:9" s="43" customFormat="1" ht="21.75" customHeight="1">
      <c r="A18" s="89"/>
      <c r="B18" s="126"/>
      <c r="C18" s="127">
        <v>4210</v>
      </c>
      <c r="D18" s="132" t="s">
        <v>106</v>
      </c>
      <c r="E18" s="148">
        <v>1930</v>
      </c>
      <c r="F18" s="148"/>
      <c r="G18" s="148"/>
      <c r="H18" s="148">
        <f>SUM(E18+F18-G18)</f>
        <v>1930</v>
      </c>
      <c r="I18" s="228"/>
    </row>
    <row r="19" spans="1:9" s="43" customFormat="1" ht="21.75" customHeight="1">
      <c r="A19" s="89"/>
      <c r="B19" s="126"/>
      <c r="C19" s="127">
        <v>4300</v>
      </c>
      <c r="D19" s="132" t="s">
        <v>93</v>
      </c>
      <c r="E19" s="148">
        <v>2000</v>
      </c>
      <c r="F19" s="148"/>
      <c r="G19" s="148"/>
      <c r="H19" s="148">
        <f>SUM(E19+F19-G19)</f>
        <v>2000</v>
      </c>
      <c r="I19" s="228"/>
    </row>
    <row r="20" spans="1:218" s="43" customFormat="1" ht="29.25" customHeight="1">
      <c r="A20" s="60" t="s">
        <v>25</v>
      </c>
      <c r="B20" s="6"/>
      <c r="C20" s="38"/>
      <c r="D20" s="58" t="s">
        <v>178</v>
      </c>
      <c r="E20" s="74">
        <f>SUM(E21)</f>
        <v>400</v>
      </c>
      <c r="F20" s="74">
        <f>SUM(F21)</f>
        <v>0</v>
      </c>
      <c r="G20" s="74">
        <f>SUM(G21)</f>
        <v>0</v>
      </c>
      <c r="H20" s="74">
        <f>SUM(H21)</f>
        <v>400</v>
      </c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</row>
    <row r="21" spans="1:218" s="43" customFormat="1" ht="24.75" customHeight="1">
      <c r="A21" s="89"/>
      <c r="B21" s="126" t="s">
        <v>27</v>
      </c>
      <c r="C21" s="135"/>
      <c r="D21" s="132" t="s">
        <v>28</v>
      </c>
      <c r="E21" s="148">
        <f>SUM(E22:E22)</f>
        <v>400</v>
      </c>
      <c r="F21" s="148">
        <f>SUM(F22:F22)</f>
        <v>0</v>
      </c>
      <c r="G21" s="148">
        <f>SUM(G22:G22)</f>
        <v>0</v>
      </c>
      <c r="H21" s="148">
        <f>SUM(H22:H22)</f>
        <v>400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</row>
    <row r="22" spans="1:218" s="43" customFormat="1" ht="21.75" customHeight="1">
      <c r="A22" s="89"/>
      <c r="B22" s="126"/>
      <c r="C22" s="127">
        <v>4300</v>
      </c>
      <c r="D22" s="132" t="s">
        <v>93</v>
      </c>
      <c r="E22" s="148">
        <v>400</v>
      </c>
      <c r="F22" s="148"/>
      <c r="G22" s="148"/>
      <c r="H22" s="148">
        <f>SUM(E22+F22-G22)</f>
        <v>400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</row>
    <row r="23" spans="1:218" s="43" customFormat="1" ht="24.75" customHeight="1">
      <c r="A23" s="60">
        <v>852</v>
      </c>
      <c r="B23" s="6"/>
      <c r="C23" s="38"/>
      <c r="D23" s="58" t="s">
        <v>279</v>
      </c>
      <c r="E23" s="74">
        <f>SUM(E24,E37,E39)</f>
        <v>6151000</v>
      </c>
      <c r="F23" s="74">
        <f>SUM(F24,F37,F39)</f>
        <v>0</v>
      </c>
      <c r="G23" s="74">
        <f>SUM(G24,G37,G39)</f>
        <v>0</v>
      </c>
      <c r="H23" s="74">
        <f>SUM(H24,H37,H39)</f>
        <v>6151000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</row>
    <row r="24" spans="1:218" s="43" customFormat="1" ht="37.5" customHeight="1">
      <c r="A24" s="164"/>
      <c r="B24" s="89">
        <v>85212</v>
      </c>
      <c r="C24" s="134"/>
      <c r="D24" s="132" t="s">
        <v>278</v>
      </c>
      <c r="E24" s="141">
        <f>SUM(E25:E36)</f>
        <v>5507000</v>
      </c>
      <c r="F24" s="141">
        <f>SUM(F25:F36)</f>
        <v>0</v>
      </c>
      <c r="G24" s="141">
        <f>SUM(G25:G36)</f>
        <v>0</v>
      </c>
      <c r="H24" s="141">
        <f>SUM(H25:H36)</f>
        <v>5507000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</row>
    <row r="25" spans="1:218" s="43" customFormat="1" ht="21.75" customHeight="1">
      <c r="A25" s="164"/>
      <c r="B25" s="89"/>
      <c r="C25" s="134">
        <v>3020</v>
      </c>
      <c r="D25" s="68" t="s">
        <v>354</v>
      </c>
      <c r="E25" s="148">
        <v>2000</v>
      </c>
      <c r="F25" s="148"/>
      <c r="G25" s="148"/>
      <c r="H25" s="148">
        <f>SUM(E25+F25-G25)</f>
        <v>2000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</row>
    <row r="26" spans="1:218" s="43" customFormat="1" ht="21.75" customHeight="1">
      <c r="A26" s="164"/>
      <c r="B26" s="89"/>
      <c r="C26" s="134">
        <v>3110</v>
      </c>
      <c r="D26" s="132" t="s">
        <v>129</v>
      </c>
      <c r="E26" s="148">
        <f>5346602-4812-23800</f>
        <v>5317990</v>
      </c>
      <c r="F26" s="148"/>
      <c r="G26" s="148"/>
      <c r="H26" s="148">
        <f aca="true" t="shared" si="0" ref="H26:H36">SUM(E26+F26-G26)</f>
        <v>5317990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</row>
    <row r="27" spans="1:218" s="43" customFormat="1" ht="21.75" customHeight="1">
      <c r="A27" s="164"/>
      <c r="B27" s="89"/>
      <c r="C27" s="89">
        <v>4010</v>
      </c>
      <c r="D27" s="23" t="s">
        <v>98</v>
      </c>
      <c r="E27" s="148">
        <v>86691</v>
      </c>
      <c r="F27" s="148"/>
      <c r="G27" s="148"/>
      <c r="H27" s="148">
        <f t="shared" si="0"/>
        <v>86691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</row>
    <row r="28" spans="1:218" s="43" customFormat="1" ht="21.75" customHeight="1">
      <c r="A28" s="164"/>
      <c r="B28" s="89"/>
      <c r="C28" s="89">
        <v>4040</v>
      </c>
      <c r="D28" s="23" t="s">
        <v>99</v>
      </c>
      <c r="E28" s="148">
        <v>7500</v>
      </c>
      <c r="F28" s="148"/>
      <c r="G28" s="148"/>
      <c r="H28" s="148">
        <f t="shared" si="0"/>
        <v>7500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</row>
    <row r="29" spans="1:218" s="43" customFormat="1" ht="21.75" customHeight="1">
      <c r="A29" s="164"/>
      <c r="B29" s="89"/>
      <c r="C29" s="89">
        <v>4110</v>
      </c>
      <c r="D29" s="23" t="s">
        <v>100</v>
      </c>
      <c r="E29" s="148">
        <f>16800+23800</f>
        <v>40600</v>
      </c>
      <c r="F29" s="148"/>
      <c r="G29" s="148"/>
      <c r="H29" s="148">
        <f t="shared" si="0"/>
        <v>40600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</row>
    <row r="30" spans="1:218" s="43" customFormat="1" ht="21.75" customHeight="1">
      <c r="A30" s="164"/>
      <c r="B30" s="89"/>
      <c r="C30" s="89">
        <v>4120</v>
      </c>
      <c r="D30" s="23" t="s">
        <v>101</v>
      </c>
      <c r="E30" s="148">
        <v>2300</v>
      </c>
      <c r="F30" s="148"/>
      <c r="G30" s="148"/>
      <c r="H30" s="148">
        <f t="shared" si="0"/>
        <v>2300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</row>
    <row r="31" spans="1:218" s="43" customFormat="1" ht="21.75" customHeight="1">
      <c r="A31" s="164"/>
      <c r="B31" s="89"/>
      <c r="C31" s="89">
        <v>4170</v>
      </c>
      <c r="D31" s="23" t="s">
        <v>299</v>
      </c>
      <c r="E31" s="148">
        <v>3000</v>
      </c>
      <c r="F31" s="148"/>
      <c r="G31" s="148"/>
      <c r="H31" s="148">
        <f>SUM(E31+F31-G31)</f>
        <v>3000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</row>
    <row r="32" spans="1:218" s="43" customFormat="1" ht="21.75" customHeight="1">
      <c r="A32" s="164"/>
      <c r="B32" s="89"/>
      <c r="C32" s="89">
        <v>4210</v>
      </c>
      <c r="D32" s="23" t="s">
        <v>106</v>
      </c>
      <c r="E32" s="148">
        <f>9000+4812</f>
        <v>13812</v>
      </c>
      <c r="F32" s="148"/>
      <c r="G32" s="148"/>
      <c r="H32" s="148">
        <f t="shared" si="0"/>
        <v>13812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</row>
    <row r="33" spans="1:218" s="43" customFormat="1" ht="21.75" customHeight="1">
      <c r="A33" s="164"/>
      <c r="B33" s="89"/>
      <c r="C33" s="89">
        <v>4300</v>
      </c>
      <c r="D33" s="23" t="s">
        <v>93</v>
      </c>
      <c r="E33" s="148">
        <v>24307</v>
      </c>
      <c r="F33" s="148"/>
      <c r="G33" s="148"/>
      <c r="H33" s="148">
        <f t="shared" si="0"/>
        <v>24307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</row>
    <row r="34" spans="1:218" s="43" customFormat="1" ht="21.75" customHeight="1">
      <c r="A34" s="164"/>
      <c r="B34" s="89"/>
      <c r="C34" s="89">
        <v>4410</v>
      </c>
      <c r="D34" s="23" t="s">
        <v>104</v>
      </c>
      <c r="E34" s="148">
        <v>3000</v>
      </c>
      <c r="F34" s="148"/>
      <c r="G34" s="148"/>
      <c r="H34" s="148">
        <f t="shared" si="0"/>
        <v>3000</v>
      </c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</row>
    <row r="35" spans="1:218" s="43" customFormat="1" ht="21.75" customHeight="1">
      <c r="A35" s="164"/>
      <c r="B35" s="89"/>
      <c r="C35" s="89">
        <v>4430</v>
      </c>
      <c r="D35" s="23" t="s">
        <v>108</v>
      </c>
      <c r="E35" s="148">
        <v>2000</v>
      </c>
      <c r="F35" s="148"/>
      <c r="G35" s="148"/>
      <c r="H35" s="148">
        <f t="shared" si="0"/>
        <v>2000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</row>
    <row r="36" spans="1:218" s="43" customFormat="1" ht="21.75" customHeight="1">
      <c r="A36" s="164"/>
      <c r="B36" s="89"/>
      <c r="C36" s="89">
        <v>4440</v>
      </c>
      <c r="D36" s="23" t="s">
        <v>102</v>
      </c>
      <c r="E36" s="148">
        <v>3800</v>
      </c>
      <c r="F36" s="148"/>
      <c r="G36" s="148"/>
      <c r="H36" s="148">
        <f t="shared" si="0"/>
        <v>3800</v>
      </c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</row>
    <row r="37" spans="1:218" s="43" customFormat="1" ht="50.25" customHeight="1">
      <c r="A37" s="126"/>
      <c r="B37" s="89">
        <v>85213</v>
      </c>
      <c r="C37" s="135"/>
      <c r="D37" s="132" t="s">
        <v>277</v>
      </c>
      <c r="E37" s="148">
        <f>SUM(E38)</f>
        <v>74700</v>
      </c>
      <c r="F37" s="148">
        <f>SUM(F38)</f>
        <v>0</v>
      </c>
      <c r="G37" s="148">
        <f>SUM(G38)</f>
        <v>0</v>
      </c>
      <c r="H37" s="148">
        <f>SUM(H38)</f>
        <v>74700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8"/>
      <c r="FP37" s="228"/>
      <c r="FQ37" s="228"/>
      <c r="FR37" s="228"/>
      <c r="FS37" s="228"/>
      <c r="FT37" s="228"/>
      <c r="FU37" s="228"/>
      <c r="FV37" s="228"/>
      <c r="FW37" s="228"/>
      <c r="FX37" s="228"/>
      <c r="FY37" s="228"/>
      <c r="FZ37" s="228"/>
      <c r="GA37" s="228"/>
      <c r="GB37" s="228"/>
      <c r="GC37" s="228"/>
      <c r="GD37" s="228"/>
      <c r="GE37" s="228"/>
      <c r="GF37" s="228"/>
      <c r="GG37" s="228"/>
      <c r="GH37" s="228"/>
      <c r="GI37" s="228"/>
      <c r="GJ37" s="228"/>
      <c r="GK37" s="228"/>
      <c r="GL37" s="228"/>
      <c r="GM37" s="228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8"/>
      <c r="HJ37" s="228"/>
    </row>
    <row r="38" spans="1:218" s="43" customFormat="1" ht="21.75" customHeight="1">
      <c r="A38" s="126"/>
      <c r="B38" s="89"/>
      <c r="C38" s="135">
        <v>4130</v>
      </c>
      <c r="D38" s="132" t="s">
        <v>138</v>
      </c>
      <c r="E38" s="148">
        <v>74700</v>
      </c>
      <c r="F38" s="148"/>
      <c r="G38" s="148"/>
      <c r="H38" s="148">
        <f>SUM(E38+F38-G38)</f>
        <v>74700</v>
      </c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</row>
    <row r="39" spans="1:218" s="115" customFormat="1" ht="30.75" customHeight="1">
      <c r="A39" s="120"/>
      <c r="B39" s="120">
        <v>85214</v>
      </c>
      <c r="C39" s="121"/>
      <c r="D39" s="119" t="s">
        <v>342</v>
      </c>
      <c r="E39" s="150">
        <f>SUM(E40:E41)</f>
        <v>569300</v>
      </c>
      <c r="F39" s="150">
        <f>SUM(F40:F41)</f>
        <v>0</v>
      </c>
      <c r="G39" s="150">
        <f>SUM(G40:G41)</f>
        <v>0</v>
      </c>
      <c r="H39" s="150">
        <f>SUM(H40:H41)</f>
        <v>569300</v>
      </c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  <c r="GE39" s="228"/>
      <c r="GF39" s="228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</row>
    <row r="40" spans="1:218" s="115" customFormat="1" ht="21.75" customHeight="1">
      <c r="A40" s="120"/>
      <c r="B40" s="142"/>
      <c r="C40" s="121">
        <v>3110</v>
      </c>
      <c r="D40" s="119" t="s">
        <v>129</v>
      </c>
      <c r="E40" s="150">
        <v>566300</v>
      </c>
      <c r="F40" s="150"/>
      <c r="G40" s="150"/>
      <c r="H40" s="150">
        <f>SUM(E40+F40-G40)</f>
        <v>566300</v>
      </c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</row>
    <row r="41" spans="1:218" s="115" customFormat="1" ht="21.75" customHeight="1">
      <c r="A41" s="120"/>
      <c r="B41" s="142"/>
      <c r="C41" s="142">
        <v>4110</v>
      </c>
      <c r="D41" s="23" t="s">
        <v>100</v>
      </c>
      <c r="E41" s="150">
        <v>3000</v>
      </c>
      <c r="F41" s="150"/>
      <c r="G41" s="150"/>
      <c r="H41" s="150">
        <f>SUM(E41+F41-G41)</f>
        <v>3000</v>
      </c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8"/>
      <c r="FP41" s="228"/>
      <c r="FQ41" s="228"/>
      <c r="FR41" s="228"/>
      <c r="FS41" s="228"/>
      <c r="FT41" s="228"/>
      <c r="FU41" s="228"/>
      <c r="FV41" s="228"/>
      <c r="FW41" s="228"/>
      <c r="FX41" s="228"/>
      <c r="FY41" s="228"/>
      <c r="FZ41" s="228"/>
      <c r="GA41" s="228"/>
      <c r="GB41" s="228"/>
      <c r="GC41" s="228"/>
      <c r="GD41" s="228"/>
      <c r="GE41" s="228"/>
      <c r="GF41" s="228"/>
      <c r="GG41" s="228"/>
      <c r="GH41" s="228"/>
      <c r="GI41" s="228"/>
      <c r="GJ41" s="228"/>
      <c r="GK41" s="228"/>
      <c r="GL41" s="228"/>
      <c r="GM41" s="228"/>
      <c r="GN41" s="228"/>
      <c r="GO41" s="228"/>
      <c r="GP41" s="228"/>
      <c r="GQ41" s="228"/>
      <c r="GR41" s="228"/>
      <c r="GS41" s="228"/>
      <c r="GT41" s="228"/>
      <c r="GU41" s="228"/>
      <c r="GV41" s="228"/>
      <c r="GW41" s="228"/>
      <c r="GX41" s="228"/>
      <c r="GY41" s="228"/>
      <c r="GZ41" s="228"/>
      <c r="HA41" s="228"/>
      <c r="HB41" s="228"/>
      <c r="HC41" s="228"/>
      <c r="HD41" s="228"/>
      <c r="HE41" s="228"/>
      <c r="HF41" s="228"/>
      <c r="HG41" s="228"/>
      <c r="HH41" s="228"/>
      <c r="HI41" s="228"/>
      <c r="HJ41" s="228"/>
    </row>
    <row r="42" spans="1:218" ht="23.25" customHeight="1">
      <c r="A42" s="14"/>
      <c r="B42" s="14"/>
      <c r="C42" s="14"/>
      <c r="D42" s="27" t="s">
        <v>81</v>
      </c>
      <c r="E42" s="74">
        <f>SUM(E23,E20,E16,E9,)</f>
        <v>6300130</v>
      </c>
      <c r="F42" s="74">
        <f>SUM(F23,F20,F16,F9,)</f>
        <v>0</v>
      </c>
      <c r="G42" s="74">
        <f>SUM(G23,G20,G16,G9,)</f>
        <v>0</v>
      </c>
      <c r="H42" s="74">
        <f>SUM(H23,H20,H16,H9,)</f>
        <v>6300130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</row>
    <row r="44" spans="5:7" ht="12.75">
      <c r="E44" s="43"/>
      <c r="G44" s="91"/>
    </row>
    <row r="45" ht="12.75">
      <c r="E45" s="251"/>
    </row>
    <row r="46" ht="12.75">
      <c r="E46" s="43"/>
    </row>
    <row r="47" ht="12.75">
      <c r="E47" s="251"/>
    </row>
    <row r="48" ht="12.75">
      <c r="E48" s="43"/>
    </row>
    <row r="49" ht="12.75">
      <c r="E49" s="251"/>
    </row>
    <row r="50" ht="12.75">
      <c r="E50" s="43"/>
    </row>
    <row r="51" ht="12.75">
      <c r="E51" s="251"/>
    </row>
    <row r="52" ht="12.75">
      <c r="E52" s="251"/>
    </row>
    <row r="53" spans="5:6" ht="12.75">
      <c r="E53" s="43"/>
      <c r="F53" s="20"/>
    </row>
    <row r="54" ht="12.75">
      <c r="E54" s="43"/>
    </row>
    <row r="55" ht="12.75">
      <c r="E55" s="251"/>
    </row>
    <row r="56" ht="12.75">
      <c r="E56" s="43"/>
    </row>
    <row r="57" ht="12.75">
      <c r="E57" s="43"/>
    </row>
    <row r="58" ht="12.75">
      <c r="E58" s="43"/>
    </row>
    <row r="59" ht="12.75">
      <c r="E59" s="43"/>
    </row>
    <row r="60" ht="12.75">
      <c r="E60" s="43"/>
    </row>
  </sheetData>
  <mergeCells count="1">
    <mergeCell ref="A6:D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9" customWidth="1"/>
    <col min="2" max="2" width="8.625" style="9" customWidth="1"/>
    <col min="3" max="3" width="5.875" style="9" customWidth="1"/>
    <col min="4" max="4" width="24.625" style="9" customWidth="1"/>
    <col min="5" max="5" width="20.125" style="9" customWidth="1"/>
    <col min="6" max="6" width="11.00390625" style="91" hidden="1" customWidth="1"/>
    <col min="7" max="7" width="11.625" style="91" hidden="1" customWidth="1"/>
    <col min="8" max="8" width="11.25390625" style="0" hidden="1" customWidth="1"/>
  </cols>
  <sheetData>
    <row r="1" spans="5:6" ht="12.75">
      <c r="E1" s="107" t="s">
        <v>375</v>
      </c>
      <c r="F1" s="107"/>
    </row>
    <row r="2" spans="5:6" ht="12.75">
      <c r="E2" s="107" t="s">
        <v>227</v>
      </c>
      <c r="F2" s="107"/>
    </row>
    <row r="3" spans="5:6" ht="12.75">
      <c r="E3" s="107" t="s">
        <v>192</v>
      </c>
      <c r="F3" s="107"/>
    </row>
    <row r="4" spans="5:6" ht="12.75">
      <c r="E4" s="107" t="s">
        <v>284</v>
      </c>
      <c r="F4" s="107"/>
    </row>
    <row r="6" spans="1:6" ht="58.5" customHeight="1">
      <c r="A6" s="407" t="s">
        <v>433</v>
      </c>
      <c r="B6" s="407"/>
      <c r="C6" s="407"/>
      <c r="D6" s="407"/>
      <c r="E6" s="407"/>
      <c r="F6" s="407"/>
    </row>
    <row r="7" spans="1:5" ht="12.75">
      <c r="A7" s="56"/>
      <c r="B7" s="56"/>
      <c r="C7" s="56"/>
      <c r="D7" s="75"/>
      <c r="E7" s="76"/>
    </row>
    <row r="8" spans="1:8" s="9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37" t="s">
        <v>165</v>
      </c>
      <c r="F8" s="34" t="s">
        <v>309</v>
      </c>
      <c r="G8" s="34" t="s">
        <v>310</v>
      </c>
      <c r="H8" s="203" t="s">
        <v>320</v>
      </c>
    </row>
    <row r="9" spans="1:8" s="8" customFormat="1" ht="28.5" customHeight="1">
      <c r="A9" s="60" t="s">
        <v>76</v>
      </c>
      <c r="B9" s="6"/>
      <c r="C9" s="6"/>
      <c r="D9" s="36" t="s">
        <v>82</v>
      </c>
      <c r="E9" s="29">
        <f aca="true" t="shared" si="0" ref="E9:H10">E10</f>
        <v>45000</v>
      </c>
      <c r="F9" s="29">
        <f t="shared" si="0"/>
        <v>0</v>
      </c>
      <c r="G9" s="29">
        <f t="shared" si="0"/>
        <v>0</v>
      </c>
      <c r="H9" s="29">
        <f t="shared" si="0"/>
        <v>45000</v>
      </c>
    </row>
    <row r="10" spans="1:8" s="43" customFormat="1" ht="24.75" customHeight="1">
      <c r="A10" s="126"/>
      <c r="B10" s="126" t="s">
        <v>77</v>
      </c>
      <c r="C10" s="89"/>
      <c r="D10" s="23" t="s">
        <v>78</v>
      </c>
      <c r="E10" s="141">
        <f t="shared" si="0"/>
        <v>45000</v>
      </c>
      <c r="F10" s="141">
        <f t="shared" si="0"/>
        <v>0</v>
      </c>
      <c r="G10" s="141">
        <f t="shared" si="0"/>
        <v>0</v>
      </c>
      <c r="H10" s="141">
        <f t="shared" si="0"/>
        <v>45000</v>
      </c>
    </row>
    <row r="11" spans="1:8" s="43" customFormat="1" ht="28.5" customHeight="1">
      <c r="A11" s="126"/>
      <c r="B11" s="126"/>
      <c r="C11" s="89">
        <v>2480</v>
      </c>
      <c r="D11" s="23" t="s">
        <v>161</v>
      </c>
      <c r="E11" s="141">
        <v>45000</v>
      </c>
      <c r="F11" s="148"/>
      <c r="G11" s="148"/>
      <c r="H11" s="148">
        <f>SUM(E11+F11-G11)</f>
        <v>45000</v>
      </c>
    </row>
    <row r="12" spans="1:8" s="8" customFormat="1" ht="24.75" customHeight="1">
      <c r="A12" s="33"/>
      <c r="B12" s="33"/>
      <c r="C12" s="33"/>
      <c r="D12" s="6" t="s">
        <v>81</v>
      </c>
      <c r="E12" s="29">
        <f>E9</f>
        <v>45000</v>
      </c>
      <c r="F12" s="29">
        <f>F9</f>
        <v>0</v>
      </c>
      <c r="G12" s="29">
        <f>G9</f>
        <v>0</v>
      </c>
      <c r="H12" s="29">
        <f>H9</f>
        <v>45000</v>
      </c>
    </row>
    <row r="15" ht="12.75">
      <c r="E15" s="51"/>
    </row>
    <row r="16" ht="12.75">
      <c r="E16" s="51"/>
    </row>
    <row r="17" ht="12.75">
      <c r="E17" s="69"/>
    </row>
    <row r="18" ht="12.75">
      <c r="E18" s="51"/>
    </row>
    <row r="19" ht="12.75">
      <c r="E19" s="51"/>
    </row>
  </sheetData>
  <mergeCells count="1">
    <mergeCell ref="A6:F6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E58" sqref="E58"/>
    </sheetView>
  </sheetViews>
  <sheetFormatPr defaultColWidth="9.00390625" defaultRowHeight="12.75"/>
  <cols>
    <col min="1" max="1" width="4.875" style="9" customWidth="1"/>
    <col min="2" max="2" width="8.25390625" style="9" customWidth="1"/>
    <col min="3" max="3" width="5.00390625" style="9" bestFit="1" customWidth="1"/>
    <col min="4" max="4" width="30.625" style="9" customWidth="1"/>
    <col min="5" max="5" width="21.25390625" style="0" customWidth="1"/>
    <col min="6" max="6" width="12.25390625" style="0" hidden="1" customWidth="1"/>
    <col min="7" max="7" width="11.375" style="0" hidden="1" customWidth="1"/>
    <col min="8" max="8" width="11.625" style="0" hidden="1" customWidth="1"/>
  </cols>
  <sheetData>
    <row r="1" spans="5:8" ht="12.75">
      <c r="E1" s="107" t="s">
        <v>287</v>
      </c>
      <c r="F1" s="107"/>
      <c r="G1" s="107"/>
      <c r="H1" s="107"/>
    </row>
    <row r="2" spans="5:8" ht="12.75">
      <c r="E2" s="107" t="s">
        <v>227</v>
      </c>
      <c r="F2" s="107"/>
      <c r="G2" s="107"/>
      <c r="H2" s="107"/>
    </row>
    <row r="3" spans="5:8" ht="12.75">
      <c r="E3" s="107" t="s">
        <v>192</v>
      </c>
      <c r="F3" s="107"/>
      <c r="G3" s="107"/>
      <c r="H3" s="107"/>
    </row>
    <row r="4" spans="5:8" ht="12.75">
      <c r="E4" s="107" t="s">
        <v>284</v>
      </c>
      <c r="F4" s="107"/>
      <c r="G4" s="107"/>
      <c r="H4" s="107"/>
    </row>
    <row r="5" spans="1:4" ht="34.5" customHeight="1">
      <c r="A5" s="393" t="s">
        <v>378</v>
      </c>
      <c r="B5" s="393"/>
      <c r="C5" s="393"/>
      <c r="D5" s="393"/>
    </row>
    <row r="6" spans="1:4" ht="12.75">
      <c r="A6" s="14"/>
      <c r="B6" s="14"/>
      <c r="C6" s="14"/>
      <c r="D6" s="62"/>
    </row>
    <row r="7" spans="1:8" s="9" customFormat="1" ht="35.25" customHeight="1">
      <c r="A7" s="7" t="s">
        <v>0</v>
      </c>
      <c r="B7" s="6" t="s">
        <v>1</v>
      </c>
      <c r="C7" s="38" t="s">
        <v>2</v>
      </c>
      <c r="D7" s="6" t="s">
        <v>3</v>
      </c>
      <c r="E7" s="203" t="s">
        <v>165</v>
      </c>
      <c r="F7" s="2" t="s">
        <v>309</v>
      </c>
      <c r="G7" s="2" t="s">
        <v>313</v>
      </c>
      <c r="H7" s="203" t="s">
        <v>320</v>
      </c>
    </row>
    <row r="8" spans="1:8" s="8" customFormat="1" ht="21.75" customHeight="1">
      <c r="A8" s="57" t="s">
        <v>88</v>
      </c>
      <c r="B8" s="6"/>
      <c r="C8" s="38"/>
      <c r="D8" s="36" t="s">
        <v>89</v>
      </c>
      <c r="E8" s="71">
        <f>E9</f>
        <v>609000</v>
      </c>
      <c r="F8" s="71">
        <f>F9</f>
        <v>0</v>
      </c>
      <c r="G8" s="71">
        <f>G9</f>
        <v>0</v>
      </c>
      <c r="H8" s="71">
        <f>H9</f>
        <v>609000</v>
      </c>
    </row>
    <row r="9" spans="1:8" s="43" customFormat="1" ht="21.75" customHeight="1">
      <c r="A9" s="125"/>
      <c r="B9" s="126" t="s">
        <v>90</v>
      </c>
      <c r="C9" s="135"/>
      <c r="D9" s="23" t="s">
        <v>91</v>
      </c>
      <c r="E9" s="104">
        <f>SUM(E10)</f>
        <v>609000</v>
      </c>
      <c r="F9" s="104">
        <f>SUM(F10)</f>
        <v>0</v>
      </c>
      <c r="G9" s="104">
        <f>SUM(G10)</f>
        <v>0</v>
      </c>
      <c r="H9" s="104">
        <f>SUM(H10)</f>
        <v>609000</v>
      </c>
    </row>
    <row r="10" spans="1:8" s="43" customFormat="1" ht="24" customHeight="1">
      <c r="A10" s="133"/>
      <c r="B10" s="89"/>
      <c r="C10" s="135">
        <v>6050</v>
      </c>
      <c r="D10" s="23" t="s">
        <v>87</v>
      </c>
      <c r="E10" s="104">
        <f>SUM(E11:E18)</f>
        <v>609000</v>
      </c>
      <c r="F10" s="104">
        <f>SUM(F11:F18)</f>
        <v>0</v>
      </c>
      <c r="G10" s="104">
        <f>SUM(G11:G18)</f>
        <v>0</v>
      </c>
      <c r="H10" s="104">
        <f>SUM(H11:H18)</f>
        <v>609000</v>
      </c>
    </row>
    <row r="11" spans="1:8" s="52" customFormat="1" ht="19.5" customHeight="1">
      <c r="A11" s="81"/>
      <c r="B11" s="82"/>
      <c r="C11" s="83"/>
      <c r="D11" s="87" t="s">
        <v>262</v>
      </c>
      <c r="E11" s="155">
        <v>31000</v>
      </c>
      <c r="F11" s="196"/>
      <c r="G11" s="155"/>
      <c r="H11" s="155">
        <f aca="true" t="shared" si="0" ref="H11:H18">SUM(E11+F11-G11)</f>
        <v>31000</v>
      </c>
    </row>
    <row r="12" spans="1:8" s="52" customFormat="1" ht="19.5" customHeight="1">
      <c r="A12" s="81"/>
      <c r="B12" s="82"/>
      <c r="C12" s="83"/>
      <c r="D12" s="87" t="s">
        <v>321</v>
      </c>
      <c r="E12" s="155">
        <v>19000</v>
      </c>
      <c r="F12" s="155"/>
      <c r="G12" s="155"/>
      <c r="H12" s="155">
        <f t="shared" si="0"/>
        <v>19000</v>
      </c>
    </row>
    <row r="13" spans="1:8" s="52" customFormat="1" ht="19.5" customHeight="1">
      <c r="A13" s="81"/>
      <c r="B13" s="82"/>
      <c r="C13" s="83"/>
      <c r="D13" s="87" t="s">
        <v>377</v>
      </c>
      <c r="E13" s="155">
        <v>19000</v>
      </c>
      <c r="F13" s="155"/>
      <c r="G13" s="155"/>
      <c r="H13" s="155">
        <f t="shared" si="0"/>
        <v>19000</v>
      </c>
    </row>
    <row r="14" spans="1:8" s="52" customFormat="1" ht="19.5" customHeight="1">
      <c r="A14" s="81"/>
      <c r="B14" s="82"/>
      <c r="C14" s="83"/>
      <c r="D14" s="87" t="s">
        <v>382</v>
      </c>
      <c r="E14" s="155">
        <v>20000</v>
      </c>
      <c r="F14" s="155"/>
      <c r="G14" s="155"/>
      <c r="H14" s="155">
        <f t="shared" si="0"/>
        <v>20000</v>
      </c>
    </row>
    <row r="15" spans="1:8" s="52" customFormat="1" ht="36" customHeight="1">
      <c r="A15" s="81"/>
      <c r="B15" s="82"/>
      <c r="C15" s="83"/>
      <c r="D15" s="87" t="s">
        <v>460</v>
      </c>
      <c r="E15" s="155">
        <v>190000</v>
      </c>
      <c r="F15" s="155"/>
      <c r="G15" s="155"/>
      <c r="H15" s="155">
        <f t="shared" si="0"/>
        <v>190000</v>
      </c>
    </row>
    <row r="16" spans="1:8" s="52" customFormat="1" ht="19.5" customHeight="1">
      <c r="A16" s="81"/>
      <c r="B16" s="82"/>
      <c r="C16" s="83"/>
      <c r="D16" s="87" t="s">
        <v>380</v>
      </c>
      <c r="E16" s="155">
        <v>40000</v>
      </c>
      <c r="F16" s="155"/>
      <c r="G16" s="155"/>
      <c r="H16" s="155">
        <f t="shared" si="0"/>
        <v>40000</v>
      </c>
    </row>
    <row r="17" spans="1:8" s="52" customFormat="1" ht="19.5" customHeight="1">
      <c r="A17" s="81"/>
      <c r="B17" s="82"/>
      <c r="C17" s="83"/>
      <c r="D17" s="87" t="s">
        <v>381</v>
      </c>
      <c r="E17" s="155">
        <v>70000</v>
      </c>
      <c r="F17" s="155"/>
      <c r="G17" s="155"/>
      <c r="H17" s="155">
        <f t="shared" si="0"/>
        <v>70000</v>
      </c>
    </row>
    <row r="18" spans="1:8" s="52" customFormat="1" ht="19.5" customHeight="1">
      <c r="A18" s="81"/>
      <c r="B18" s="82"/>
      <c r="C18" s="83"/>
      <c r="D18" s="84" t="s">
        <v>266</v>
      </c>
      <c r="E18" s="155">
        <v>220000</v>
      </c>
      <c r="F18" s="196"/>
      <c r="G18" s="155"/>
      <c r="H18" s="155">
        <f t="shared" si="0"/>
        <v>220000</v>
      </c>
    </row>
    <row r="19" spans="1:8" s="20" customFormat="1" ht="21.75" customHeight="1">
      <c r="A19" s="57" t="s">
        <v>11</v>
      </c>
      <c r="B19" s="6"/>
      <c r="C19" s="38"/>
      <c r="D19" s="36" t="s">
        <v>12</v>
      </c>
      <c r="E19" s="29">
        <f>SUM(E22)</f>
        <v>100000</v>
      </c>
      <c r="F19" s="29">
        <f>SUM(F22)</f>
        <v>0</v>
      </c>
      <c r="G19" s="29">
        <f>SUM(G22)</f>
        <v>0</v>
      </c>
      <c r="H19" s="29">
        <f>SUM(H22)</f>
        <v>100000</v>
      </c>
    </row>
    <row r="20" spans="1:8" s="43" customFormat="1" ht="22.5" hidden="1">
      <c r="A20" s="125"/>
      <c r="B20" s="89"/>
      <c r="C20" s="126">
        <v>6050</v>
      </c>
      <c r="D20" s="23" t="s">
        <v>87</v>
      </c>
      <c r="E20" s="141" t="e">
        <f>SUM(E21)</f>
        <v>#REF!</v>
      </c>
      <c r="F20" s="141">
        <f>SUM(F21)</f>
        <v>0</v>
      </c>
      <c r="G20" s="141">
        <f>SUM(G21)</f>
        <v>0</v>
      </c>
      <c r="H20" s="141" t="e">
        <f>SUM(H21)</f>
        <v>#REF!</v>
      </c>
    </row>
    <row r="21" spans="1:8" s="52" customFormat="1" ht="27" customHeight="1" hidden="1">
      <c r="A21" s="85"/>
      <c r="B21" s="82"/>
      <c r="C21" s="178"/>
      <c r="D21" s="158" t="s">
        <v>318</v>
      </c>
      <c r="E21" s="155" t="e">
        <f>SUM(#REF!+#REF!-#REF!)</f>
        <v>#REF!</v>
      </c>
      <c r="F21" s="196"/>
      <c r="G21" s="155"/>
      <c r="H21" s="155" t="e">
        <f>SUM(E21+F21-G21)</f>
        <v>#REF!</v>
      </c>
    </row>
    <row r="22" spans="1:8" s="43" customFormat="1" ht="21.75" customHeight="1">
      <c r="A22" s="125"/>
      <c r="B22" s="126">
        <v>70095</v>
      </c>
      <c r="C22" s="135"/>
      <c r="D22" s="23" t="s">
        <v>6</v>
      </c>
      <c r="E22" s="155">
        <f>E23</f>
        <v>100000</v>
      </c>
      <c r="F22" s="141">
        <f>SUM(F23)</f>
        <v>0</v>
      </c>
      <c r="G22" s="141">
        <f>SUM(G23)</f>
        <v>0</v>
      </c>
      <c r="H22" s="155">
        <f>SUM(E22+F22-G22)</f>
        <v>100000</v>
      </c>
    </row>
    <row r="23" spans="1:8" s="43" customFormat="1" ht="24" customHeight="1">
      <c r="A23" s="125"/>
      <c r="B23" s="126"/>
      <c r="C23" s="127">
        <v>6050</v>
      </c>
      <c r="D23" s="23" t="s">
        <v>87</v>
      </c>
      <c r="E23" s="141">
        <f>SUM(E24)</f>
        <v>100000</v>
      </c>
      <c r="F23" s="141">
        <f>SUM(F24)</f>
        <v>0</v>
      </c>
      <c r="G23" s="141">
        <f>SUM(G24)</f>
        <v>0</v>
      </c>
      <c r="H23" s="141">
        <f>SUM(H24)</f>
        <v>100000</v>
      </c>
    </row>
    <row r="24" spans="1:8" s="43" customFormat="1" ht="19.5" customHeight="1">
      <c r="A24" s="85"/>
      <c r="B24" s="82"/>
      <c r="C24" s="86"/>
      <c r="D24" s="87" t="s">
        <v>179</v>
      </c>
      <c r="E24" s="155">
        <v>100000</v>
      </c>
      <c r="F24" s="155"/>
      <c r="G24" s="195"/>
      <c r="H24" s="155">
        <f>SUM(E24+F24-G24)</f>
        <v>100000</v>
      </c>
    </row>
    <row r="25" spans="1:8" s="72" customFormat="1" ht="22.5" customHeight="1">
      <c r="A25" s="57">
        <v>750</v>
      </c>
      <c r="B25" s="6"/>
      <c r="C25" s="22"/>
      <c r="D25" s="36" t="s">
        <v>97</v>
      </c>
      <c r="E25" s="74">
        <f>E26</f>
        <v>30000</v>
      </c>
      <c r="F25" s="74">
        <f aca="true" t="shared" si="1" ref="F25:H26">F26</f>
        <v>0</v>
      </c>
      <c r="G25" s="74">
        <f t="shared" si="1"/>
        <v>0</v>
      </c>
      <c r="H25" s="74">
        <f t="shared" si="1"/>
        <v>0</v>
      </c>
    </row>
    <row r="26" spans="1:8" s="43" customFormat="1" ht="25.5" customHeight="1">
      <c r="A26" s="125"/>
      <c r="B26" s="138" t="s">
        <v>21</v>
      </c>
      <c r="C26" s="142"/>
      <c r="D26" s="68" t="s">
        <v>22</v>
      </c>
      <c r="E26" s="148">
        <f>E27</f>
        <v>30000</v>
      </c>
      <c r="F26" s="148">
        <f t="shared" si="1"/>
        <v>0</v>
      </c>
      <c r="G26" s="148">
        <f t="shared" si="1"/>
        <v>0</v>
      </c>
      <c r="H26" s="148">
        <f t="shared" si="1"/>
        <v>0</v>
      </c>
    </row>
    <row r="27" spans="1:8" s="43" customFormat="1" ht="23.25" customHeight="1">
      <c r="A27" s="125"/>
      <c r="B27" s="89"/>
      <c r="C27" s="128">
        <v>6060</v>
      </c>
      <c r="D27" s="23" t="s">
        <v>110</v>
      </c>
      <c r="E27" s="148">
        <f>SUM(E28)</f>
        <v>30000</v>
      </c>
      <c r="F27" s="148"/>
      <c r="G27" s="195"/>
      <c r="H27" s="148"/>
    </row>
    <row r="28" spans="1:8" s="52" customFormat="1" ht="24" customHeight="1">
      <c r="A28" s="85"/>
      <c r="B28" s="82"/>
      <c r="C28" s="86"/>
      <c r="D28" s="87" t="s">
        <v>180</v>
      </c>
      <c r="E28" s="155">
        <v>30000</v>
      </c>
      <c r="F28" s="196"/>
      <c r="G28" s="196"/>
      <c r="H28" s="155">
        <f>SUM(E28+F28-G28)</f>
        <v>30000</v>
      </c>
    </row>
    <row r="29" spans="1:8" s="72" customFormat="1" ht="26.25" customHeight="1">
      <c r="A29" s="57">
        <v>754</v>
      </c>
      <c r="B29" s="6"/>
      <c r="C29" s="22"/>
      <c r="D29" s="36" t="s">
        <v>26</v>
      </c>
      <c r="E29" s="74">
        <f aca="true" t="shared" si="2" ref="E29:H31">SUM(E30)</f>
        <v>70000</v>
      </c>
      <c r="F29" s="74">
        <f t="shared" si="2"/>
        <v>0</v>
      </c>
      <c r="G29" s="74">
        <f t="shared" si="2"/>
        <v>0</v>
      </c>
      <c r="H29" s="74">
        <f t="shared" si="2"/>
        <v>70000</v>
      </c>
    </row>
    <row r="30" spans="1:8" s="43" customFormat="1" ht="26.25" customHeight="1">
      <c r="A30" s="125"/>
      <c r="B30" s="89">
        <v>75412</v>
      </c>
      <c r="C30" s="128"/>
      <c r="D30" s="23" t="s">
        <v>115</v>
      </c>
      <c r="E30" s="148">
        <f>E31</f>
        <v>70000</v>
      </c>
      <c r="F30" s="148">
        <f t="shared" si="2"/>
        <v>0</v>
      </c>
      <c r="G30" s="148">
        <f t="shared" si="2"/>
        <v>0</v>
      </c>
      <c r="H30" s="148">
        <f>E30+F30-G30</f>
        <v>70000</v>
      </c>
    </row>
    <row r="31" spans="1:8" s="43" customFormat="1" ht="26.25" customHeight="1">
      <c r="A31" s="85"/>
      <c r="B31" s="82"/>
      <c r="C31" s="128">
        <v>6050</v>
      </c>
      <c r="D31" s="23" t="s">
        <v>87</v>
      </c>
      <c r="E31" s="148">
        <f t="shared" si="2"/>
        <v>70000</v>
      </c>
      <c r="F31" s="148">
        <f t="shared" si="2"/>
        <v>0</v>
      </c>
      <c r="G31" s="148">
        <f t="shared" si="2"/>
        <v>0</v>
      </c>
      <c r="H31" s="148">
        <f t="shared" si="2"/>
        <v>70000</v>
      </c>
    </row>
    <row r="32" spans="1:8" s="43" customFormat="1" ht="19.5" customHeight="1">
      <c r="A32" s="85"/>
      <c r="B32" s="82"/>
      <c r="C32" s="86"/>
      <c r="D32" s="87" t="s">
        <v>346</v>
      </c>
      <c r="E32" s="155">
        <v>70000</v>
      </c>
      <c r="F32" s="155"/>
      <c r="G32" s="196"/>
      <c r="H32" s="155">
        <f>SUM(E32+F32-G32)</f>
        <v>70000</v>
      </c>
    </row>
    <row r="33" spans="1:8" s="72" customFormat="1" ht="21.75" customHeight="1">
      <c r="A33" s="57">
        <v>801</v>
      </c>
      <c r="B33" s="6"/>
      <c r="C33" s="22"/>
      <c r="D33" s="36" t="s">
        <v>127</v>
      </c>
      <c r="E33" s="29">
        <f>SUM(E34)</f>
        <v>3500</v>
      </c>
      <c r="F33" s="29">
        <f>SUM(F34)</f>
        <v>0</v>
      </c>
      <c r="G33" s="29">
        <f>SUM(G34)</f>
        <v>0</v>
      </c>
      <c r="H33" s="155">
        <f>E33+F33-G33</f>
        <v>3500</v>
      </c>
    </row>
    <row r="34" spans="1:8" s="43" customFormat="1" ht="18" customHeight="1">
      <c r="A34" s="125"/>
      <c r="B34" s="89">
        <v>80110</v>
      </c>
      <c r="C34" s="128"/>
      <c r="D34" s="23" t="s">
        <v>63</v>
      </c>
      <c r="E34" s="141">
        <f aca="true" t="shared" si="3" ref="E34:H35">SUM(E35)</f>
        <v>3500</v>
      </c>
      <c r="F34" s="141">
        <f t="shared" si="3"/>
        <v>0</v>
      </c>
      <c r="G34" s="141">
        <f t="shared" si="3"/>
        <v>0</v>
      </c>
      <c r="H34" s="141">
        <f t="shared" si="3"/>
        <v>3500</v>
      </c>
    </row>
    <row r="35" spans="1:8" s="43" customFormat="1" ht="21.75" customHeight="1">
      <c r="A35" s="125"/>
      <c r="B35" s="89"/>
      <c r="C35" s="128">
        <v>6060</v>
      </c>
      <c r="D35" s="23" t="s">
        <v>110</v>
      </c>
      <c r="E35" s="141">
        <f t="shared" si="3"/>
        <v>3500</v>
      </c>
      <c r="F35" s="141">
        <f t="shared" si="3"/>
        <v>0</v>
      </c>
      <c r="G35" s="141">
        <f t="shared" si="3"/>
        <v>0</v>
      </c>
      <c r="H35" s="141">
        <f t="shared" si="3"/>
        <v>3500</v>
      </c>
    </row>
    <row r="36" spans="1:8" s="52" customFormat="1" ht="24" customHeight="1">
      <c r="A36" s="85"/>
      <c r="B36" s="82"/>
      <c r="C36" s="86"/>
      <c r="D36" s="87" t="s">
        <v>180</v>
      </c>
      <c r="E36" s="155">
        <v>3500</v>
      </c>
      <c r="F36" s="196"/>
      <c r="G36" s="196"/>
      <c r="H36" s="155">
        <f>SUM(E36+F36-G36)</f>
        <v>3500</v>
      </c>
    </row>
    <row r="37" spans="1:8" s="72" customFormat="1" ht="24" customHeight="1">
      <c r="A37" s="57">
        <v>851</v>
      </c>
      <c r="B37" s="6"/>
      <c r="C37" s="22"/>
      <c r="D37" s="36" t="s">
        <v>64</v>
      </c>
      <c r="E37" s="74">
        <f>E38</f>
        <v>23109</v>
      </c>
      <c r="F37" s="74">
        <f>F38</f>
        <v>0</v>
      </c>
      <c r="G37" s="74">
        <f>G38</f>
        <v>0</v>
      </c>
      <c r="H37" s="74">
        <f>H38</f>
        <v>23109</v>
      </c>
    </row>
    <row r="38" spans="1:8" s="43" customFormat="1" ht="21.75" customHeight="1">
      <c r="A38" s="125"/>
      <c r="B38" s="89">
        <v>85154</v>
      </c>
      <c r="C38" s="128"/>
      <c r="D38" s="23" t="s">
        <v>65</v>
      </c>
      <c r="E38" s="141">
        <f>SUM(E39)</f>
        <v>23109</v>
      </c>
      <c r="F38" s="141">
        <f>SUM(F39)</f>
        <v>0</v>
      </c>
      <c r="G38" s="141">
        <f>SUM(G39)</f>
        <v>0</v>
      </c>
      <c r="H38" s="141">
        <f>SUM(H39)</f>
        <v>23109</v>
      </c>
    </row>
    <row r="39" spans="1:8" s="43" customFormat="1" ht="25.5" customHeight="1">
      <c r="A39" s="125"/>
      <c r="B39" s="89"/>
      <c r="C39" s="128">
        <v>6060</v>
      </c>
      <c r="D39" s="23" t="s">
        <v>110</v>
      </c>
      <c r="E39" s="148">
        <f>E40</f>
        <v>23109</v>
      </c>
      <c r="F39" s="148">
        <f>SUM(F40)</f>
        <v>0</v>
      </c>
      <c r="G39" s="148">
        <f>SUM(G40)</f>
        <v>0</v>
      </c>
      <c r="H39" s="148">
        <f>SUM(E39+F39-G39)</f>
        <v>23109</v>
      </c>
    </row>
    <row r="40" spans="1:8" s="43" customFormat="1" ht="24.75" customHeight="1">
      <c r="A40" s="125"/>
      <c r="B40" s="89"/>
      <c r="C40" s="128"/>
      <c r="D40" s="87" t="s">
        <v>301</v>
      </c>
      <c r="E40" s="155">
        <v>23109</v>
      </c>
      <c r="F40" s="155"/>
      <c r="G40" s="148"/>
      <c r="H40" s="155">
        <f>SUM(E40+F40-G40)</f>
        <v>23109</v>
      </c>
    </row>
    <row r="41" spans="1:8" s="72" customFormat="1" ht="27" customHeight="1">
      <c r="A41" s="57" t="s">
        <v>146</v>
      </c>
      <c r="B41" s="6"/>
      <c r="C41" s="38"/>
      <c r="D41" s="36" t="s">
        <v>73</v>
      </c>
      <c r="E41" s="29">
        <f>SUM(E42,E49)</f>
        <v>9037636</v>
      </c>
      <c r="F41" s="29">
        <f>SUM(F42,F49)</f>
        <v>0</v>
      </c>
      <c r="G41" s="29">
        <f>SUM(G42,G49)</f>
        <v>0</v>
      </c>
      <c r="H41" s="29">
        <f>SUM(H42,H49)</f>
        <v>9037636</v>
      </c>
    </row>
    <row r="42" spans="1:8" s="43" customFormat="1" ht="21.75" customHeight="1">
      <c r="A42" s="125"/>
      <c r="B42" s="126" t="s">
        <v>147</v>
      </c>
      <c r="C42" s="135"/>
      <c r="D42" s="23" t="s">
        <v>74</v>
      </c>
      <c r="E42" s="141">
        <f>SUM(E43,E45,E47,)</f>
        <v>8767636</v>
      </c>
      <c r="F42" s="141">
        <f>SUM(F43,F45,F47,)</f>
        <v>0</v>
      </c>
      <c r="G42" s="141">
        <f>SUM(G43,G45,G47,)</f>
        <v>0</v>
      </c>
      <c r="H42" s="141">
        <f>SUM(H43,H45,H47,)</f>
        <v>8767636</v>
      </c>
    </row>
    <row r="43" spans="1:8" s="43" customFormat="1" ht="24" customHeight="1">
      <c r="A43" s="125"/>
      <c r="B43" s="126"/>
      <c r="C43" s="127">
        <v>6050</v>
      </c>
      <c r="D43" s="23" t="s">
        <v>87</v>
      </c>
      <c r="E43" s="148">
        <f>SUM(E44)</f>
        <v>100000</v>
      </c>
      <c r="F43" s="148">
        <f>SUM(F44)</f>
        <v>0</v>
      </c>
      <c r="G43" s="148">
        <f>SUM(G44)</f>
        <v>0</v>
      </c>
      <c r="H43" s="148">
        <f>SUM(H44)</f>
        <v>100000</v>
      </c>
    </row>
    <row r="44" spans="1:8" s="52" customFormat="1" ht="19.5" customHeight="1">
      <c r="A44" s="85"/>
      <c r="B44" s="178"/>
      <c r="C44" s="208"/>
      <c r="D44" s="90" t="s">
        <v>461</v>
      </c>
      <c r="E44" s="155">
        <v>100000</v>
      </c>
      <c r="F44" s="155"/>
      <c r="G44" s="155"/>
      <c r="H44" s="155">
        <f>SUM(E44+F44-G44)</f>
        <v>100000</v>
      </c>
    </row>
    <row r="45" spans="1:8" s="43" customFormat="1" ht="24.75" customHeight="1">
      <c r="A45" s="125"/>
      <c r="B45" s="126"/>
      <c r="C45" s="127">
        <v>6058</v>
      </c>
      <c r="D45" s="23" t="s">
        <v>87</v>
      </c>
      <c r="E45" s="141">
        <f>SUM(E46)</f>
        <v>5717636</v>
      </c>
      <c r="F45" s="141">
        <f>SUM(F46)</f>
        <v>0</v>
      </c>
      <c r="G45" s="141">
        <f>SUM(G46)</f>
        <v>0</v>
      </c>
      <c r="H45" s="141">
        <f>SUM(H46)</f>
        <v>5717636</v>
      </c>
    </row>
    <row r="46" spans="1:8" s="43" customFormat="1" ht="49.5" customHeight="1">
      <c r="A46" s="125"/>
      <c r="B46" s="126"/>
      <c r="C46" s="127"/>
      <c r="D46" s="90" t="s">
        <v>306</v>
      </c>
      <c r="E46" s="88">
        <v>5717636</v>
      </c>
      <c r="F46" s="155"/>
      <c r="G46" s="155"/>
      <c r="H46" s="155">
        <f>SUM(E46+F46-G46)</f>
        <v>5717636</v>
      </c>
    </row>
    <row r="47" spans="1:8" s="43" customFormat="1" ht="21.75" customHeight="1">
      <c r="A47" s="125"/>
      <c r="B47" s="126"/>
      <c r="C47" s="127">
        <v>6059</v>
      </c>
      <c r="D47" s="23" t="s">
        <v>87</v>
      </c>
      <c r="E47" s="141">
        <f>SUM(E48)</f>
        <v>2950000</v>
      </c>
      <c r="F47" s="141">
        <f>SUM(F48)</f>
        <v>0</v>
      </c>
      <c r="G47" s="141">
        <f>SUM(G48)</f>
        <v>0</v>
      </c>
      <c r="H47" s="141">
        <f>SUM(H48)</f>
        <v>2950000</v>
      </c>
    </row>
    <row r="48" spans="1:8" s="43" customFormat="1" ht="49.5" customHeight="1">
      <c r="A48" s="125"/>
      <c r="B48" s="126"/>
      <c r="C48" s="127"/>
      <c r="D48" s="90" t="s">
        <v>306</v>
      </c>
      <c r="E48" s="88">
        <v>2950000</v>
      </c>
      <c r="F48" s="155"/>
      <c r="G48" s="155"/>
      <c r="H48" s="155">
        <f>SUM(E48+F48-G48)</f>
        <v>2950000</v>
      </c>
    </row>
    <row r="49" spans="1:8" s="43" customFormat="1" ht="24" customHeight="1">
      <c r="A49" s="125"/>
      <c r="B49" s="126" t="s">
        <v>156</v>
      </c>
      <c r="C49" s="135"/>
      <c r="D49" s="23" t="s">
        <v>157</v>
      </c>
      <c r="E49" s="141">
        <f>SUM(E50:E50)</f>
        <v>270000</v>
      </c>
      <c r="F49" s="141">
        <f>SUM(F50:F50)</f>
        <v>0</v>
      </c>
      <c r="G49" s="141">
        <f>SUM(G50:G50)</f>
        <v>0</v>
      </c>
      <c r="H49" s="141">
        <f>SUM(H50:H50)</f>
        <v>270000</v>
      </c>
    </row>
    <row r="50" spans="1:8" s="43" customFormat="1" ht="24" customHeight="1">
      <c r="A50" s="125"/>
      <c r="B50" s="89"/>
      <c r="C50" s="127">
        <v>6050</v>
      </c>
      <c r="D50" s="23" t="s">
        <v>87</v>
      </c>
      <c r="E50" s="141">
        <f>SUM(E51:E55)</f>
        <v>270000</v>
      </c>
      <c r="F50" s="141">
        <f>SUM(F51:F55)</f>
        <v>0</v>
      </c>
      <c r="G50" s="141">
        <f>SUM(G51:G55)</f>
        <v>0</v>
      </c>
      <c r="H50" s="141">
        <f>SUM(H51:H55)</f>
        <v>270000</v>
      </c>
    </row>
    <row r="51" spans="1:8" s="52" customFormat="1" ht="19.5" customHeight="1">
      <c r="A51" s="85"/>
      <c r="B51" s="82"/>
      <c r="C51" s="208"/>
      <c r="D51" s="87" t="s">
        <v>379</v>
      </c>
      <c r="E51" s="88">
        <v>180000</v>
      </c>
      <c r="F51" s="88"/>
      <c r="G51" s="88"/>
      <c r="H51" s="88">
        <f>E51+F51-G51</f>
        <v>180000</v>
      </c>
    </row>
    <row r="52" spans="1:8" s="52" customFormat="1" ht="33" customHeight="1">
      <c r="A52" s="85"/>
      <c r="B52" s="82"/>
      <c r="C52" s="208"/>
      <c r="D52" s="87" t="s">
        <v>383</v>
      </c>
      <c r="E52" s="88">
        <v>80000</v>
      </c>
      <c r="F52" s="88"/>
      <c r="G52" s="88"/>
      <c r="H52" s="88">
        <f>E52+F52-G52</f>
        <v>80000</v>
      </c>
    </row>
    <row r="53" spans="1:8" s="43" customFormat="1" ht="19.5" customHeight="1">
      <c r="A53" s="125"/>
      <c r="B53" s="89"/>
      <c r="C53" s="127"/>
      <c r="D53" s="87" t="s">
        <v>270</v>
      </c>
      <c r="E53" s="155">
        <v>4000</v>
      </c>
      <c r="F53" s="148"/>
      <c r="G53" s="155"/>
      <c r="H53" s="155">
        <f>SUM(E53+F53-G53)</f>
        <v>4000</v>
      </c>
    </row>
    <row r="54" spans="1:8" s="43" customFormat="1" ht="19.5" customHeight="1">
      <c r="A54" s="85"/>
      <c r="B54" s="82"/>
      <c r="C54" s="86"/>
      <c r="D54" s="87" t="s">
        <v>296</v>
      </c>
      <c r="E54" s="155">
        <v>3000</v>
      </c>
      <c r="F54" s="148"/>
      <c r="G54" s="148"/>
      <c r="H54" s="155">
        <f>SUM(E54+F54-G54)</f>
        <v>3000</v>
      </c>
    </row>
    <row r="55" spans="1:8" s="43" customFormat="1" ht="19.5" customHeight="1">
      <c r="A55" s="85"/>
      <c r="B55" s="82"/>
      <c r="C55" s="86"/>
      <c r="D55" s="87" t="s">
        <v>297</v>
      </c>
      <c r="E55" s="155">
        <v>3000</v>
      </c>
      <c r="F55" s="148"/>
      <c r="G55" s="148"/>
      <c r="H55" s="155">
        <f>SUM(E55+F55-G55)</f>
        <v>3000</v>
      </c>
    </row>
    <row r="56" spans="1:8" s="9" customFormat="1" ht="23.25" customHeight="1">
      <c r="A56" s="14"/>
      <c r="B56" s="14"/>
      <c r="C56" s="14"/>
      <c r="D56" s="230" t="s">
        <v>81</v>
      </c>
      <c r="E56" s="99">
        <f>E8+E19+E25+E29+E33+E37+E41</f>
        <v>9873245</v>
      </c>
      <c r="F56" s="99">
        <f>F8+F19+F29+F33+F37+F41</f>
        <v>0</v>
      </c>
      <c r="G56" s="99">
        <f>G8+G19+G29+G33+G37+G41</f>
        <v>0</v>
      </c>
      <c r="H56" s="99">
        <f>H8+H19+H29+H33+H37+H41</f>
        <v>9843245</v>
      </c>
    </row>
    <row r="58" ht="12.75">
      <c r="G58" s="91"/>
    </row>
    <row r="59" ht="12.75">
      <c r="E59" s="91"/>
    </row>
    <row r="60" ht="12.75">
      <c r="F60" s="91"/>
    </row>
    <row r="61" ht="12.75">
      <c r="F61" s="91"/>
    </row>
    <row r="62" ht="12.75">
      <c r="F62" s="91"/>
    </row>
    <row r="63" ht="12.75">
      <c r="F63" s="91"/>
    </row>
    <row r="64" ht="12.75">
      <c r="F64" s="177"/>
    </row>
    <row r="65" ht="12.75">
      <c r="F65" s="91"/>
    </row>
    <row r="66" ht="12.75">
      <c r="F66" s="91"/>
    </row>
    <row r="67" ht="12.75">
      <c r="F67" s="177"/>
    </row>
    <row r="69" spans="5:8" ht="12.75">
      <c r="E69" t="s">
        <v>349</v>
      </c>
      <c r="H69" t="s">
        <v>349</v>
      </c>
    </row>
  </sheetData>
  <mergeCells count="1">
    <mergeCell ref="A5:D5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E20" sqref="E20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29.125" style="9" customWidth="1"/>
    <col min="5" max="5" width="22.25390625" style="9" customWidth="1"/>
    <col min="6" max="6" width="11.00390625" style="9" hidden="1" customWidth="1"/>
    <col min="7" max="7" width="11.625" style="9" hidden="1" customWidth="1"/>
    <col min="8" max="8" width="10.75390625" style="0" hidden="1" customWidth="1"/>
  </cols>
  <sheetData>
    <row r="1" spans="5:7" ht="12.75">
      <c r="E1" s="107" t="s">
        <v>417</v>
      </c>
      <c r="F1" s="107"/>
      <c r="G1" s="200"/>
    </row>
    <row r="2" spans="5:7" ht="12.75">
      <c r="E2" s="107" t="s">
        <v>227</v>
      </c>
      <c r="F2" s="107"/>
      <c r="G2" s="200"/>
    </row>
    <row r="3" spans="5:7" ht="12.75">
      <c r="E3" s="107" t="s">
        <v>192</v>
      </c>
      <c r="F3" s="107"/>
      <c r="G3" s="200"/>
    </row>
    <row r="4" spans="5:7" ht="12.75">
      <c r="E4" s="107" t="s">
        <v>284</v>
      </c>
      <c r="F4" s="107"/>
      <c r="G4" s="200"/>
    </row>
    <row r="5" spans="5:7" ht="12.75">
      <c r="E5" s="129"/>
      <c r="F5" s="129"/>
      <c r="G5" s="129"/>
    </row>
    <row r="6" spans="1:7" ht="12.75">
      <c r="A6" s="106"/>
      <c r="B6" s="106"/>
      <c r="C6" s="106"/>
      <c r="D6" s="106"/>
      <c r="E6" s="200"/>
      <c r="F6" s="129"/>
      <c r="G6" s="129"/>
    </row>
    <row r="7" spans="1:7" ht="30" customHeight="1">
      <c r="A7" s="410" t="s">
        <v>436</v>
      </c>
      <c r="B7" s="410"/>
      <c r="C7" s="410"/>
      <c r="D7" s="410"/>
      <c r="E7" s="410"/>
      <c r="F7"/>
      <c r="G7"/>
    </row>
    <row r="8" spans="1:7" ht="15" customHeight="1">
      <c r="A8" s="285"/>
      <c r="B8" s="285"/>
      <c r="C8" s="285"/>
      <c r="D8" s="285"/>
      <c r="E8" s="285"/>
      <c r="F8"/>
      <c r="G8"/>
    </row>
    <row r="9" spans="1:7" ht="27" customHeight="1">
      <c r="A9" s="409" t="s">
        <v>281</v>
      </c>
      <c r="B9" s="409"/>
      <c r="C9" s="409"/>
      <c r="D9" s="409"/>
      <c r="E9" s="409"/>
      <c r="F9"/>
      <c r="G9"/>
    </row>
    <row r="10" spans="1:8" ht="24.75" customHeight="1">
      <c r="A10" s="21" t="s">
        <v>0</v>
      </c>
      <c r="B10" s="21" t="s">
        <v>1</v>
      </c>
      <c r="C10" s="21" t="s">
        <v>2</v>
      </c>
      <c r="D10" s="21" t="s">
        <v>3</v>
      </c>
      <c r="E10" s="28" t="s">
        <v>165</v>
      </c>
      <c r="F10" s="28" t="s">
        <v>309</v>
      </c>
      <c r="G10" s="28" t="s">
        <v>310</v>
      </c>
      <c r="H10" s="216" t="s">
        <v>319</v>
      </c>
    </row>
    <row r="11" spans="1:8" s="8" customFormat="1" ht="27.75" customHeight="1">
      <c r="A11" s="60" t="s">
        <v>146</v>
      </c>
      <c r="B11" s="7"/>
      <c r="C11" s="6"/>
      <c r="D11" s="36" t="s">
        <v>73</v>
      </c>
      <c r="E11" s="29">
        <f>SUM(E12)</f>
        <v>112390</v>
      </c>
      <c r="F11" s="29">
        <f>SUM(F12)</f>
        <v>0</v>
      </c>
      <c r="G11" s="29">
        <f>SUM(G12)</f>
        <v>0</v>
      </c>
      <c r="H11" s="59">
        <f>SUM(E11+F11-G11)</f>
        <v>112390</v>
      </c>
    </row>
    <row r="12" spans="1:8" s="8" customFormat="1" ht="30" customHeight="1">
      <c r="A12" s="3"/>
      <c r="B12" s="18">
        <v>90011</v>
      </c>
      <c r="C12" s="4"/>
      <c r="D12" s="17" t="s">
        <v>181</v>
      </c>
      <c r="E12" s="30">
        <f>SUM(E13:E14)</f>
        <v>112390</v>
      </c>
      <c r="F12" s="30">
        <f>SUM(F13:F14)</f>
        <v>0</v>
      </c>
      <c r="G12" s="30">
        <f>SUM(G13:G14)</f>
        <v>0</v>
      </c>
      <c r="H12" s="13">
        <f>SUM(E12+F12-G12)</f>
        <v>112390</v>
      </c>
    </row>
    <row r="13" spans="1:8" ht="21.75" customHeight="1">
      <c r="A13" s="44"/>
      <c r="B13" s="45"/>
      <c r="C13" s="42"/>
      <c r="D13" s="87" t="s">
        <v>182</v>
      </c>
      <c r="E13" s="88">
        <v>22390</v>
      </c>
      <c r="F13" s="88"/>
      <c r="G13" s="88"/>
      <c r="H13" s="218">
        <f>SUM(E13+F13-G13)</f>
        <v>22390</v>
      </c>
    </row>
    <row r="14" spans="1:8" s="9" customFormat="1" ht="21.75" customHeight="1">
      <c r="A14" s="3"/>
      <c r="B14" s="18"/>
      <c r="C14" s="15" t="s">
        <v>269</v>
      </c>
      <c r="D14" s="17" t="s">
        <v>183</v>
      </c>
      <c r="E14" s="30">
        <v>90000</v>
      </c>
      <c r="F14" s="30"/>
      <c r="G14" s="30"/>
      <c r="H14" s="13">
        <f>SUM(E14+F14-G14)</f>
        <v>90000</v>
      </c>
    </row>
    <row r="15" spans="1:8" ht="22.5" customHeight="1">
      <c r="A15" s="46"/>
      <c r="B15" s="33"/>
      <c r="C15" s="33"/>
      <c r="D15" s="21" t="s">
        <v>81</v>
      </c>
      <c r="E15" s="29">
        <f>SUM(E11)</f>
        <v>112390</v>
      </c>
      <c r="F15" s="29">
        <f>SUM(F11)</f>
        <v>0</v>
      </c>
      <c r="G15" s="29">
        <f>SUM(G11)</f>
        <v>0</v>
      </c>
      <c r="H15" s="59">
        <f>SUM(E15+F15-G15)</f>
        <v>112390</v>
      </c>
    </row>
    <row r="16" ht="12.75" customHeight="1"/>
    <row r="17" spans="1:7" ht="27.75" customHeight="1">
      <c r="A17" s="408" t="s">
        <v>282</v>
      </c>
      <c r="B17" s="408"/>
      <c r="C17" s="408"/>
      <c r="D17" s="408"/>
      <c r="E17" s="408"/>
      <c r="F17"/>
      <c r="G17"/>
    </row>
    <row r="18" spans="1:8" ht="24.75" customHeight="1">
      <c r="A18" s="21" t="s">
        <v>0</v>
      </c>
      <c r="B18" s="21" t="s">
        <v>1</v>
      </c>
      <c r="C18" s="21" t="s">
        <v>2</v>
      </c>
      <c r="D18" s="21" t="s">
        <v>3</v>
      </c>
      <c r="E18" s="28" t="s">
        <v>165</v>
      </c>
      <c r="F18" s="28" t="s">
        <v>309</v>
      </c>
      <c r="G18" s="28" t="s">
        <v>310</v>
      </c>
      <c r="H18" s="216" t="s">
        <v>319</v>
      </c>
    </row>
    <row r="19" spans="1:8" s="8" customFormat="1" ht="29.25" customHeight="1">
      <c r="A19" s="60" t="s">
        <v>146</v>
      </c>
      <c r="B19" s="7"/>
      <c r="C19" s="6"/>
      <c r="D19" s="36" t="s">
        <v>73</v>
      </c>
      <c r="E19" s="29">
        <f>SUM(E20)</f>
        <v>112390</v>
      </c>
      <c r="F19" s="29">
        <f>SUM(F20)</f>
        <v>0</v>
      </c>
      <c r="G19" s="29">
        <f>SUM(G20)</f>
        <v>0</v>
      </c>
      <c r="H19" s="59">
        <f>SUM(E19+F19-G19)</f>
        <v>112390</v>
      </c>
    </row>
    <row r="20" spans="1:8" s="8" customFormat="1" ht="29.25" customHeight="1">
      <c r="A20" s="3"/>
      <c r="B20" s="18">
        <v>90011</v>
      </c>
      <c r="C20" s="4"/>
      <c r="D20" s="17" t="s">
        <v>181</v>
      </c>
      <c r="E20" s="30">
        <f>SUM(E21,E25)</f>
        <v>112390</v>
      </c>
      <c r="F20" s="30">
        <f>SUM(F21,F25,F24)</f>
        <v>0</v>
      </c>
      <c r="G20" s="30">
        <f>SUM(G21,G25,G24)</f>
        <v>0</v>
      </c>
      <c r="H20" s="30">
        <f>SUM(H21,H25,H24)</f>
        <v>114390</v>
      </c>
    </row>
    <row r="21" spans="1:8" s="9" customFormat="1" ht="21.75" customHeight="1">
      <c r="A21" s="3"/>
      <c r="B21" s="18"/>
      <c r="C21" s="4">
        <v>4210</v>
      </c>
      <c r="D21" s="17" t="s">
        <v>86</v>
      </c>
      <c r="E21" s="30">
        <f>SUM(E22:E24)</f>
        <v>8500</v>
      </c>
      <c r="F21" s="30">
        <f>SUM(F22:F23)</f>
        <v>0</v>
      </c>
      <c r="G21" s="30">
        <f>SUM(G22:G23)</f>
        <v>0</v>
      </c>
      <c r="H21" s="217">
        <f aca="true" t="shared" si="0" ref="H21:H32">SUM(E21+F21-G21)</f>
        <v>8500</v>
      </c>
    </row>
    <row r="22" spans="1:8" ht="21.75" customHeight="1">
      <c r="A22" s="44"/>
      <c r="B22" s="45"/>
      <c r="C22" s="77"/>
      <c r="D22" s="87" t="s">
        <v>184</v>
      </c>
      <c r="E22" s="88">
        <v>2500</v>
      </c>
      <c r="F22" s="88"/>
      <c r="G22" s="88"/>
      <c r="H22" s="218">
        <f t="shared" si="0"/>
        <v>2500</v>
      </c>
    </row>
    <row r="23" spans="1:8" ht="21.75" customHeight="1">
      <c r="A23" s="44"/>
      <c r="B23" s="45"/>
      <c r="C23" s="77"/>
      <c r="D23" s="87" t="s">
        <v>186</v>
      </c>
      <c r="E23" s="88">
        <v>4000</v>
      </c>
      <c r="F23" s="88"/>
      <c r="G23" s="88"/>
      <c r="H23" s="218">
        <f t="shared" si="0"/>
        <v>4000</v>
      </c>
    </row>
    <row r="24" spans="1:8" ht="21.75" customHeight="1">
      <c r="A24" s="44"/>
      <c r="B24" s="45"/>
      <c r="C24" s="77"/>
      <c r="D24" s="87" t="s">
        <v>415</v>
      </c>
      <c r="E24" s="88">
        <v>2000</v>
      </c>
      <c r="F24" s="88"/>
      <c r="G24" s="88"/>
      <c r="H24" s="218">
        <f t="shared" si="0"/>
        <v>2000</v>
      </c>
    </row>
    <row r="25" spans="1:8" s="9" customFormat="1" ht="21.75" customHeight="1">
      <c r="A25" s="3"/>
      <c r="B25" s="18"/>
      <c r="C25" s="15">
        <v>4300</v>
      </c>
      <c r="D25" s="17" t="s">
        <v>93</v>
      </c>
      <c r="E25" s="30">
        <f>SUM(E26:E30)</f>
        <v>103890</v>
      </c>
      <c r="F25" s="30">
        <f>SUM(F26:F30)</f>
        <v>0</v>
      </c>
      <c r="G25" s="30">
        <f>SUM(G26:G30)</f>
        <v>0</v>
      </c>
      <c r="H25" s="217">
        <f t="shared" si="0"/>
        <v>103890</v>
      </c>
    </row>
    <row r="26" spans="1:8" ht="21.75" customHeight="1">
      <c r="A26" s="44"/>
      <c r="B26" s="45"/>
      <c r="C26" s="77"/>
      <c r="D26" s="87" t="s">
        <v>185</v>
      </c>
      <c r="E26" s="88">
        <f>74690+2000</f>
        <v>76690</v>
      </c>
      <c r="F26" s="88"/>
      <c r="G26" s="88"/>
      <c r="H26" s="218">
        <f t="shared" si="0"/>
        <v>76690</v>
      </c>
    </row>
    <row r="27" spans="1:8" ht="21.75" customHeight="1">
      <c r="A27" s="44"/>
      <c r="B27" s="45"/>
      <c r="C27" s="77"/>
      <c r="D27" s="87" t="s">
        <v>308</v>
      </c>
      <c r="E27" s="88">
        <v>10000</v>
      </c>
      <c r="F27" s="88"/>
      <c r="G27" s="88"/>
      <c r="H27" s="218">
        <f t="shared" si="0"/>
        <v>10000</v>
      </c>
    </row>
    <row r="28" spans="1:8" ht="21.75" customHeight="1">
      <c r="A28" s="44"/>
      <c r="B28" s="45"/>
      <c r="C28" s="77"/>
      <c r="D28" s="87" t="s">
        <v>187</v>
      </c>
      <c r="E28" s="88">
        <v>5000</v>
      </c>
      <c r="F28" s="88"/>
      <c r="G28" s="88"/>
      <c r="H28" s="218">
        <f t="shared" si="0"/>
        <v>5000</v>
      </c>
    </row>
    <row r="29" spans="1:8" ht="29.25" customHeight="1">
      <c r="A29" s="44"/>
      <c r="B29" s="42"/>
      <c r="C29" s="42"/>
      <c r="D29" s="87" t="s">
        <v>300</v>
      </c>
      <c r="E29" s="88">
        <v>12000</v>
      </c>
      <c r="F29" s="88"/>
      <c r="G29" s="88"/>
      <c r="H29" s="218">
        <f t="shared" si="0"/>
        <v>12000</v>
      </c>
    </row>
    <row r="30" spans="1:8" ht="19.5" customHeight="1">
      <c r="A30" s="44"/>
      <c r="B30" s="42"/>
      <c r="C30" s="42"/>
      <c r="D30" s="87" t="s">
        <v>416</v>
      </c>
      <c r="E30" s="88">
        <v>200</v>
      </c>
      <c r="F30" s="88"/>
      <c r="G30" s="88"/>
      <c r="H30" s="218">
        <f t="shared" si="0"/>
        <v>200</v>
      </c>
    </row>
    <row r="31" spans="1:8" ht="21.75" customHeight="1">
      <c r="A31" s="46"/>
      <c r="B31" s="33"/>
      <c r="C31" s="4"/>
      <c r="D31" s="21" t="s">
        <v>81</v>
      </c>
      <c r="E31" s="29">
        <f>SUM(E20)</f>
        <v>112390</v>
      </c>
      <c r="F31" s="29">
        <f>SUM(F20)</f>
        <v>0</v>
      </c>
      <c r="G31" s="29">
        <f>SUM(G20)</f>
        <v>0</v>
      </c>
      <c r="H31" s="59">
        <f t="shared" si="0"/>
        <v>112390</v>
      </c>
    </row>
    <row r="32" spans="1:8" ht="21.75" customHeight="1">
      <c r="A32" s="47"/>
      <c r="B32" s="48"/>
      <c r="C32" s="42"/>
      <c r="D32" s="19" t="s">
        <v>267</v>
      </c>
      <c r="E32" s="29">
        <f>SUM(E15-E31)</f>
        <v>0</v>
      </c>
      <c r="F32" s="29"/>
      <c r="G32" s="29"/>
      <c r="H32" s="59">
        <f t="shared" si="0"/>
        <v>0</v>
      </c>
    </row>
  </sheetData>
  <mergeCells count="3">
    <mergeCell ref="A17:E17"/>
    <mergeCell ref="A9:E9"/>
    <mergeCell ref="A7:E7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3"/>
  <sheetViews>
    <sheetView workbookViewId="0" topLeftCell="A1">
      <selection activeCell="E8" sqref="E8"/>
    </sheetView>
  </sheetViews>
  <sheetFormatPr defaultColWidth="9.00390625" defaultRowHeight="12.75"/>
  <cols>
    <col min="1" max="1" width="6.125" style="92" customWidth="1"/>
    <col min="2" max="2" width="8.875" style="92" customWidth="1"/>
    <col min="3" max="3" width="5.00390625" style="92" customWidth="1"/>
    <col min="4" max="4" width="32.00390625" style="93" customWidth="1"/>
    <col min="5" max="5" width="18.00390625" style="95" customWidth="1"/>
    <col min="6" max="16384" width="7.875" style="93" customWidth="1"/>
  </cols>
  <sheetData>
    <row r="1" ht="12.75">
      <c r="E1" s="107" t="s">
        <v>376</v>
      </c>
    </row>
    <row r="2" ht="12.75">
      <c r="E2" s="107" t="s">
        <v>227</v>
      </c>
    </row>
    <row r="3" ht="12.75">
      <c r="E3" s="107" t="s">
        <v>192</v>
      </c>
    </row>
    <row r="4" ht="12.75">
      <c r="E4" s="107" t="s">
        <v>284</v>
      </c>
    </row>
    <row r="5" spans="1:5" s="160" customFormat="1" ht="15">
      <c r="A5" s="292" t="s">
        <v>425</v>
      </c>
      <c r="B5" s="159"/>
      <c r="C5" s="159"/>
      <c r="E5" s="161"/>
    </row>
    <row r="6" spans="1:5" s="160" customFormat="1" ht="15.75" customHeight="1">
      <c r="A6" s="162"/>
      <c r="B6" s="159"/>
      <c r="C6" s="159"/>
      <c r="E6" s="161"/>
    </row>
    <row r="7" spans="1:5" s="96" customFormat="1" ht="23.25" customHeight="1">
      <c r="A7" s="2" t="s">
        <v>0</v>
      </c>
      <c r="B7" s="2" t="s">
        <v>1</v>
      </c>
      <c r="C7" s="2" t="s">
        <v>2</v>
      </c>
      <c r="D7" s="2" t="s">
        <v>3</v>
      </c>
      <c r="E7" s="37" t="s">
        <v>165</v>
      </c>
    </row>
    <row r="8" spans="1:5" s="288" customFormat="1" ht="21.75" customHeight="1">
      <c r="A8" s="60" t="s">
        <v>88</v>
      </c>
      <c r="B8" s="6"/>
      <c r="C8" s="6"/>
      <c r="D8" s="36" t="s">
        <v>89</v>
      </c>
      <c r="E8" s="29">
        <f>E9</f>
        <v>134510</v>
      </c>
    </row>
    <row r="9" spans="1:5" s="94" customFormat="1" ht="21.75" customHeight="1">
      <c r="A9" s="170"/>
      <c r="B9" s="170" t="s">
        <v>90</v>
      </c>
      <c r="C9" s="101"/>
      <c r="D9" s="80" t="s">
        <v>91</v>
      </c>
      <c r="E9" s="148">
        <f>E10+E20+E30</f>
        <v>134510</v>
      </c>
    </row>
    <row r="10" spans="1:5" s="94" customFormat="1" ht="21.75" customHeight="1">
      <c r="A10" s="170"/>
      <c r="B10" s="101"/>
      <c r="C10" s="170">
        <v>4210</v>
      </c>
      <c r="D10" s="80" t="s">
        <v>86</v>
      </c>
      <c r="E10" s="148">
        <f>E11+E12+E13+E14+E15+E16+E17+E18+E19</f>
        <v>22030</v>
      </c>
    </row>
    <row r="11" spans="1:5" s="173" customFormat="1" ht="15" customHeight="1">
      <c r="A11" s="171"/>
      <c r="B11" s="171"/>
      <c r="C11" s="172"/>
      <c r="D11" s="166" t="s">
        <v>222</v>
      </c>
      <c r="E11" s="155">
        <v>1970</v>
      </c>
    </row>
    <row r="12" spans="1:5" s="173" customFormat="1" ht="15" customHeight="1">
      <c r="A12" s="171"/>
      <c r="B12" s="171"/>
      <c r="C12" s="172"/>
      <c r="D12" s="166" t="s">
        <v>212</v>
      </c>
      <c r="E12" s="155">
        <v>3000</v>
      </c>
    </row>
    <row r="13" spans="1:5" s="173" customFormat="1" ht="15" customHeight="1">
      <c r="A13" s="171"/>
      <c r="B13" s="171"/>
      <c r="C13" s="172"/>
      <c r="D13" s="166" t="s">
        <v>205</v>
      </c>
      <c r="E13" s="155">
        <v>5000</v>
      </c>
    </row>
    <row r="14" spans="1:5" s="173" customFormat="1" ht="15" customHeight="1">
      <c r="A14" s="171"/>
      <c r="B14" s="171"/>
      <c r="C14" s="172"/>
      <c r="D14" s="166" t="s">
        <v>206</v>
      </c>
      <c r="E14" s="155">
        <v>800</v>
      </c>
    </row>
    <row r="15" spans="1:5" s="173" customFormat="1" ht="15" customHeight="1">
      <c r="A15" s="171"/>
      <c r="B15" s="171"/>
      <c r="C15" s="172"/>
      <c r="D15" s="166" t="s">
        <v>207</v>
      </c>
      <c r="E15" s="155">
        <v>3220</v>
      </c>
    </row>
    <row r="16" spans="1:5" s="173" customFormat="1" ht="15" customHeight="1">
      <c r="A16" s="171"/>
      <c r="B16" s="171"/>
      <c r="C16" s="172"/>
      <c r="D16" s="166" t="s">
        <v>208</v>
      </c>
      <c r="E16" s="155">
        <v>1500</v>
      </c>
    </row>
    <row r="17" spans="1:5" s="173" customFormat="1" ht="15" customHeight="1">
      <c r="A17" s="171"/>
      <c r="B17" s="171"/>
      <c r="C17" s="172"/>
      <c r="D17" s="166" t="s">
        <v>209</v>
      </c>
      <c r="E17" s="155">
        <v>1000</v>
      </c>
    </row>
    <row r="18" spans="1:5" s="173" customFormat="1" ht="15" customHeight="1">
      <c r="A18" s="171"/>
      <c r="B18" s="171"/>
      <c r="C18" s="172"/>
      <c r="D18" s="166" t="s">
        <v>210</v>
      </c>
      <c r="E18" s="155">
        <v>2080</v>
      </c>
    </row>
    <row r="19" spans="1:5" s="173" customFormat="1" ht="15" customHeight="1">
      <c r="A19" s="171"/>
      <c r="B19" s="171"/>
      <c r="C19" s="172"/>
      <c r="D19" s="166" t="s">
        <v>211</v>
      </c>
      <c r="E19" s="155">
        <v>3460</v>
      </c>
    </row>
    <row r="20" spans="1:5" s="173" customFormat="1" ht="21.75" customHeight="1">
      <c r="A20" s="172"/>
      <c r="B20" s="176"/>
      <c r="C20" s="172">
        <v>4300</v>
      </c>
      <c r="D20" s="276" t="s">
        <v>93</v>
      </c>
      <c r="E20" s="155">
        <f>E21+E22+E23+E24+E25+E26+E27+E28+E29</f>
        <v>43480</v>
      </c>
    </row>
    <row r="21" spans="1:5" s="94" customFormat="1" ht="15" customHeight="1">
      <c r="A21" s="171"/>
      <c r="B21" s="171"/>
      <c r="C21" s="171"/>
      <c r="D21" s="166" t="s">
        <v>212</v>
      </c>
      <c r="E21" s="155">
        <v>7000</v>
      </c>
    </row>
    <row r="22" spans="1:5" s="94" customFormat="1" ht="15" customHeight="1">
      <c r="A22" s="171"/>
      <c r="B22" s="171"/>
      <c r="C22" s="171"/>
      <c r="D22" s="166" t="s">
        <v>213</v>
      </c>
      <c r="E22" s="155">
        <v>2000</v>
      </c>
    </row>
    <row r="23" spans="1:5" s="94" customFormat="1" ht="15" customHeight="1">
      <c r="A23" s="171"/>
      <c r="B23" s="171"/>
      <c r="C23" s="171"/>
      <c r="D23" s="166" t="s">
        <v>214</v>
      </c>
      <c r="E23" s="155">
        <v>8000</v>
      </c>
    </row>
    <row r="24" spans="1:5" s="94" customFormat="1" ht="15" customHeight="1">
      <c r="A24" s="171"/>
      <c r="B24" s="171"/>
      <c r="C24" s="171"/>
      <c r="D24" s="166" t="s">
        <v>215</v>
      </c>
      <c r="E24" s="155">
        <v>2000</v>
      </c>
    </row>
    <row r="25" spans="1:5" s="94" customFormat="1" ht="15" customHeight="1">
      <c r="A25" s="171"/>
      <c r="B25" s="171"/>
      <c r="C25" s="171"/>
      <c r="D25" s="166" t="s">
        <v>204</v>
      </c>
      <c r="E25" s="155">
        <v>5700</v>
      </c>
    </row>
    <row r="26" spans="1:5" s="94" customFormat="1" ht="15" customHeight="1">
      <c r="A26" s="171"/>
      <c r="B26" s="171"/>
      <c r="C26" s="171"/>
      <c r="D26" s="166" t="s">
        <v>217</v>
      </c>
      <c r="E26" s="155">
        <v>5000</v>
      </c>
    </row>
    <row r="27" spans="1:5" s="94" customFormat="1" ht="15" customHeight="1">
      <c r="A27" s="171"/>
      <c r="B27" s="174"/>
      <c r="C27" s="171"/>
      <c r="D27" s="166" t="s">
        <v>205</v>
      </c>
      <c r="E27" s="155">
        <v>2000</v>
      </c>
    </row>
    <row r="28" spans="1:5" s="94" customFormat="1" ht="15" customHeight="1">
      <c r="A28" s="171"/>
      <c r="B28" s="174"/>
      <c r="C28" s="171"/>
      <c r="D28" s="166" t="s">
        <v>208</v>
      </c>
      <c r="E28" s="155">
        <v>6000</v>
      </c>
    </row>
    <row r="29" spans="1:5" s="94" customFormat="1" ht="15" customHeight="1">
      <c r="A29" s="171"/>
      <c r="B29" s="174"/>
      <c r="C29" s="171"/>
      <c r="D29" s="166" t="s">
        <v>206</v>
      </c>
      <c r="E29" s="155">
        <v>5780</v>
      </c>
    </row>
    <row r="30" spans="1:5" s="94" customFormat="1" ht="21.75" customHeight="1">
      <c r="A30" s="171"/>
      <c r="B30" s="174"/>
      <c r="C30" s="102">
        <v>6050</v>
      </c>
      <c r="D30" s="80" t="s">
        <v>87</v>
      </c>
      <c r="E30" s="155">
        <f>E31+E32+E33</f>
        <v>69000</v>
      </c>
    </row>
    <row r="31" spans="1:5" s="94" customFormat="1" ht="15" customHeight="1">
      <c r="A31" s="171"/>
      <c r="B31" s="174"/>
      <c r="C31" s="102"/>
      <c r="D31" s="166" t="s">
        <v>212</v>
      </c>
      <c r="E31" s="155">
        <v>31000</v>
      </c>
    </row>
    <row r="32" spans="1:5" s="94" customFormat="1" ht="15" customHeight="1">
      <c r="A32" s="171"/>
      <c r="B32" s="174"/>
      <c r="C32" s="102"/>
      <c r="D32" s="166" t="s">
        <v>220</v>
      </c>
      <c r="E32" s="155">
        <v>19000</v>
      </c>
    </row>
    <row r="33" spans="1:5" s="94" customFormat="1" ht="15" customHeight="1">
      <c r="A33" s="171"/>
      <c r="B33" s="174"/>
      <c r="C33" s="171"/>
      <c r="D33" s="166" t="s">
        <v>208</v>
      </c>
      <c r="E33" s="155">
        <v>19000</v>
      </c>
    </row>
    <row r="34" spans="1:5" s="75" customFormat="1" ht="21.75" customHeight="1">
      <c r="A34" s="60">
        <v>700</v>
      </c>
      <c r="B34" s="6"/>
      <c r="C34" s="6"/>
      <c r="D34" s="36" t="s">
        <v>12</v>
      </c>
      <c r="E34" s="29">
        <f>E35</f>
        <v>300</v>
      </c>
    </row>
    <row r="35" spans="1:5" s="94" customFormat="1" ht="21.75" customHeight="1">
      <c r="A35" s="101"/>
      <c r="B35" s="170">
        <v>70095</v>
      </c>
      <c r="C35" s="101"/>
      <c r="D35" s="80" t="s">
        <v>6</v>
      </c>
      <c r="E35" s="148">
        <f>E36</f>
        <v>300</v>
      </c>
    </row>
    <row r="36" spans="1:5" s="169" customFormat="1" ht="21.75" customHeight="1">
      <c r="A36" s="101"/>
      <c r="B36" s="170"/>
      <c r="C36" s="170">
        <v>4260</v>
      </c>
      <c r="D36" s="80" t="s">
        <v>109</v>
      </c>
      <c r="E36" s="148">
        <f>E37</f>
        <v>300</v>
      </c>
    </row>
    <row r="37" spans="1:5" s="94" customFormat="1" ht="15" customHeight="1">
      <c r="A37" s="171"/>
      <c r="B37" s="171"/>
      <c r="C37" s="171"/>
      <c r="D37" s="166" t="s">
        <v>220</v>
      </c>
      <c r="E37" s="155">
        <v>300</v>
      </c>
    </row>
    <row r="38" spans="1:5" s="75" customFormat="1" ht="21.75" customHeight="1">
      <c r="A38" s="60">
        <v>710</v>
      </c>
      <c r="B38" s="6"/>
      <c r="C38" s="6"/>
      <c r="D38" s="36" t="s">
        <v>94</v>
      </c>
      <c r="E38" s="29">
        <f>E39</f>
        <v>350</v>
      </c>
    </row>
    <row r="39" spans="1:5" s="94" customFormat="1" ht="21.75" customHeight="1">
      <c r="A39" s="101"/>
      <c r="B39" s="170">
        <v>71035</v>
      </c>
      <c r="C39" s="101"/>
      <c r="D39" s="80" t="s">
        <v>17</v>
      </c>
      <c r="E39" s="148">
        <f>E40</f>
        <v>350</v>
      </c>
    </row>
    <row r="40" spans="1:5" s="94" customFormat="1" ht="21.75" customHeight="1">
      <c r="A40" s="101"/>
      <c r="B40" s="170"/>
      <c r="C40" s="170">
        <v>4260</v>
      </c>
      <c r="D40" s="80" t="s">
        <v>109</v>
      </c>
      <c r="E40" s="155">
        <f>E41+E42</f>
        <v>350</v>
      </c>
    </row>
    <row r="41" spans="1:5" s="173" customFormat="1" ht="15" customHeight="1">
      <c r="A41" s="101"/>
      <c r="B41" s="170"/>
      <c r="C41" s="170"/>
      <c r="D41" s="166" t="s">
        <v>212</v>
      </c>
      <c r="E41" s="155">
        <v>150</v>
      </c>
    </row>
    <row r="42" spans="1:5" s="173" customFormat="1" ht="15" customHeight="1">
      <c r="A42" s="171"/>
      <c r="B42" s="171"/>
      <c r="C42" s="171"/>
      <c r="D42" s="166" t="s">
        <v>220</v>
      </c>
      <c r="E42" s="155">
        <v>200</v>
      </c>
    </row>
    <row r="43" spans="1:5" s="289" customFormat="1" ht="21.75" customHeight="1">
      <c r="A43" s="60" t="s">
        <v>18</v>
      </c>
      <c r="B43" s="6"/>
      <c r="C43" s="6"/>
      <c r="D43" s="36" t="s">
        <v>97</v>
      </c>
      <c r="E43" s="29">
        <v>36480</v>
      </c>
    </row>
    <row r="44" spans="1:5" s="169" customFormat="1" ht="21.75" customHeight="1">
      <c r="A44" s="101"/>
      <c r="B44" s="170" t="s">
        <v>21</v>
      </c>
      <c r="C44" s="101"/>
      <c r="D44" s="80" t="s">
        <v>22</v>
      </c>
      <c r="E44" s="148">
        <f>E45+E66</f>
        <v>10030</v>
      </c>
    </row>
    <row r="45" spans="1:5" s="94" customFormat="1" ht="21.75" customHeight="1">
      <c r="A45" s="101"/>
      <c r="B45" s="170"/>
      <c r="C45" s="170" t="s">
        <v>221</v>
      </c>
      <c r="D45" s="80" t="s">
        <v>106</v>
      </c>
      <c r="E45" s="148">
        <f>E46+E47+E48+E49+E50+E51+E52+E53+E54+E55+E56+E57+E58+E59+E60+E61+E62+E63+E64+E65</f>
        <v>1400</v>
      </c>
    </row>
    <row r="46" spans="1:5" s="94" customFormat="1" ht="15" customHeight="1">
      <c r="A46" s="171"/>
      <c r="B46" s="171"/>
      <c r="C46" s="171"/>
      <c r="D46" s="166" t="s">
        <v>212</v>
      </c>
      <c r="E46" s="155">
        <v>70</v>
      </c>
    </row>
    <row r="47" spans="1:5" s="173" customFormat="1" ht="15" customHeight="1">
      <c r="A47" s="171"/>
      <c r="B47" s="171"/>
      <c r="C47" s="171"/>
      <c r="D47" s="166" t="s">
        <v>213</v>
      </c>
      <c r="E47" s="155">
        <v>70</v>
      </c>
    </row>
    <row r="48" spans="1:5" s="173" customFormat="1" ht="15" customHeight="1">
      <c r="A48" s="171"/>
      <c r="B48" s="171"/>
      <c r="C48" s="171"/>
      <c r="D48" s="166" t="s">
        <v>222</v>
      </c>
      <c r="E48" s="155">
        <v>70</v>
      </c>
    </row>
    <row r="49" spans="1:5" s="173" customFormat="1" ht="15" customHeight="1">
      <c r="A49" s="171"/>
      <c r="B49" s="171"/>
      <c r="C49" s="171"/>
      <c r="D49" s="166" t="s">
        <v>214</v>
      </c>
      <c r="E49" s="155">
        <v>70</v>
      </c>
    </row>
    <row r="50" spans="1:5" s="173" customFormat="1" ht="15" customHeight="1">
      <c r="A50" s="171"/>
      <c r="B50" s="171"/>
      <c r="C50" s="171"/>
      <c r="D50" s="166" t="s">
        <v>215</v>
      </c>
      <c r="E50" s="155">
        <v>70</v>
      </c>
    </row>
    <row r="51" spans="1:5" s="169" customFormat="1" ht="15" customHeight="1">
      <c r="A51" s="171"/>
      <c r="B51" s="171"/>
      <c r="C51" s="171"/>
      <c r="D51" s="166" t="s">
        <v>216</v>
      </c>
      <c r="E51" s="155">
        <v>70</v>
      </c>
    </row>
    <row r="52" spans="1:5" s="94" customFormat="1" ht="15" customHeight="1">
      <c r="A52" s="171"/>
      <c r="B52" s="171"/>
      <c r="C52" s="171"/>
      <c r="D52" s="166" t="s">
        <v>203</v>
      </c>
      <c r="E52" s="155">
        <v>70</v>
      </c>
    </row>
    <row r="53" spans="1:5" s="94" customFormat="1" ht="15" customHeight="1">
      <c r="A53" s="171"/>
      <c r="B53" s="171"/>
      <c r="C53" s="171"/>
      <c r="D53" s="166" t="s">
        <v>204</v>
      </c>
      <c r="E53" s="155">
        <v>70</v>
      </c>
    </row>
    <row r="54" spans="1:5" s="173" customFormat="1" ht="15" customHeight="1">
      <c r="A54" s="171"/>
      <c r="B54" s="171"/>
      <c r="C54" s="171"/>
      <c r="D54" s="166" t="s">
        <v>217</v>
      </c>
      <c r="E54" s="155">
        <v>70</v>
      </c>
    </row>
    <row r="55" spans="1:5" s="173" customFormat="1" ht="15" customHeight="1">
      <c r="A55" s="171"/>
      <c r="B55" s="171"/>
      <c r="C55" s="171"/>
      <c r="D55" s="166" t="s">
        <v>205</v>
      </c>
      <c r="E55" s="155">
        <v>70</v>
      </c>
    </row>
    <row r="56" spans="1:5" s="173" customFormat="1" ht="15" customHeight="1">
      <c r="A56" s="171"/>
      <c r="B56" s="171"/>
      <c r="C56" s="171"/>
      <c r="D56" s="166" t="s">
        <v>206</v>
      </c>
      <c r="E56" s="155">
        <v>70</v>
      </c>
    </row>
    <row r="57" spans="1:5" s="173" customFormat="1" ht="15" customHeight="1">
      <c r="A57" s="171"/>
      <c r="B57" s="171"/>
      <c r="C57" s="171"/>
      <c r="D57" s="166" t="s">
        <v>207</v>
      </c>
      <c r="E57" s="155">
        <v>70</v>
      </c>
    </row>
    <row r="58" spans="1:5" s="173" customFormat="1" ht="15" customHeight="1">
      <c r="A58" s="171"/>
      <c r="B58" s="171"/>
      <c r="C58" s="171"/>
      <c r="D58" s="166" t="s">
        <v>208</v>
      </c>
      <c r="E58" s="155">
        <v>70</v>
      </c>
    </row>
    <row r="59" spans="1:5" s="173" customFormat="1" ht="15" customHeight="1">
      <c r="A59" s="171"/>
      <c r="B59" s="171"/>
      <c r="C59" s="171"/>
      <c r="D59" s="166" t="s">
        <v>218</v>
      </c>
      <c r="E59" s="155">
        <v>70</v>
      </c>
    </row>
    <row r="60" spans="1:5" s="173" customFormat="1" ht="15" customHeight="1">
      <c r="A60" s="171"/>
      <c r="B60" s="171"/>
      <c r="C60" s="171"/>
      <c r="D60" s="166" t="s">
        <v>220</v>
      </c>
      <c r="E60" s="155">
        <v>70</v>
      </c>
    </row>
    <row r="61" spans="1:5" s="173" customFormat="1" ht="15" customHeight="1">
      <c r="A61" s="171"/>
      <c r="B61" s="171"/>
      <c r="C61" s="171"/>
      <c r="D61" s="166" t="s">
        <v>209</v>
      </c>
      <c r="E61" s="155">
        <v>70</v>
      </c>
    </row>
    <row r="62" spans="1:5" s="173" customFormat="1" ht="15" customHeight="1">
      <c r="A62" s="171"/>
      <c r="B62" s="171"/>
      <c r="C62" s="171"/>
      <c r="D62" s="166" t="s">
        <v>219</v>
      </c>
      <c r="E62" s="155">
        <v>70</v>
      </c>
    </row>
    <row r="63" spans="1:5" s="173" customFormat="1" ht="15" customHeight="1">
      <c r="A63" s="171"/>
      <c r="B63" s="171"/>
      <c r="C63" s="171"/>
      <c r="D63" s="166" t="s">
        <v>210</v>
      </c>
      <c r="E63" s="155">
        <v>70</v>
      </c>
    </row>
    <row r="64" spans="1:5" s="173" customFormat="1" ht="15" customHeight="1">
      <c r="A64" s="171"/>
      <c r="B64" s="171"/>
      <c r="C64" s="171"/>
      <c r="D64" s="166" t="s">
        <v>211</v>
      </c>
      <c r="E64" s="155">
        <v>70</v>
      </c>
    </row>
    <row r="65" spans="1:5" s="173" customFormat="1" ht="15" customHeight="1">
      <c r="A65" s="171"/>
      <c r="B65" s="171"/>
      <c r="C65" s="171"/>
      <c r="D65" s="166" t="s">
        <v>223</v>
      </c>
      <c r="E65" s="155">
        <v>70</v>
      </c>
    </row>
    <row r="66" spans="1:5" s="173" customFormat="1" ht="21.75" customHeight="1">
      <c r="A66" s="101"/>
      <c r="B66" s="170"/>
      <c r="C66" s="170" t="s">
        <v>224</v>
      </c>
      <c r="D66" s="80" t="s">
        <v>93</v>
      </c>
      <c r="E66" s="148">
        <f>E67+E68+E69+E70+E71+E72+E73+E74+E75+E76+E77+E78+E79+E80+E81+E82+E83</f>
        <v>8630</v>
      </c>
    </row>
    <row r="67" spans="1:5" s="173" customFormat="1" ht="15" customHeight="1">
      <c r="A67" s="171"/>
      <c r="B67" s="171"/>
      <c r="C67" s="171"/>
      <c r="D67" s="166" t="s">
        <v>212</v>
      </c>
      <c r="E67" s="155">
        <v>520</v>
      </c>
    </row>
    <row r="68" spans="1:5" s="173" customFormat="1" ht="15" customHeight="1">
      <c r="A68" s="171"/>
      <c r="B68" s="171"/>
      <c r="C68" s="171"/>
      <c r="D68" s="166" t="s">
        <v>213</v>
      </c>
      <c r="E68" s="155">
        <v>520</v>
      </c>
    </row>
    <row r="69" spans="1:5" s="173" customFormat="1" ht="15" customHeight="1">
      <c r="A69" s="171"/>
      <c r="B69" s="171"/>
      <c r="C69" s="171"/>
      <c r="D69" s="166" t="s">
        <v>222</v>
      </c>
      <c r="E69" s="155">
        <v>350</v>
      </c>
    </row>
    <row r="70" spans="1:5" s="173" customFormat="1" ht="15" customHeight="1">
      <c r="A70" s="171"/>
      <c r="B70" s="171"/>
      <c r="C70" s="171"/>
      <c r="D70" s="166" t="s">
        <v>214</v>
      </c>
      <c r="E70" s="155">
        <v>520</v>
      </c>
    </row>
    <row r="71" spans="1:5" s="173" customFormat="1" ht="15" customHeight="1">
      <c r="A71" s="171"/>
      <c r="B71" s="171"/>
      <c r="C71" s="171"/>
      <c r="D71" s="166" t="s">
        <v>215</v>
      </c>
      <c r="E71" s="155">
        <v>520</v>
      </c>
    </row>
    <row r="72" spans="1:5" s="173" customFormat="1" ht="15" customHeight="1">
      <c r="A72" s="171"/>
      <c r="B72" s="171"/>
      <c r="C72" s="171"/>
      <c r="D72" s="166" t="s">
        <v>203</v>
      </c>
      <c r="E72" s="155">
        <v>520</v>
      </c>
    </row>
    <row r="73" spans="1:5" s="173" customFormat="1" ht="15" customHeight="1">
      <c r="A73" s="171"/>
      <c r="B73" s="171"/>
      <c r="C73" s="171"/>
      <c r="D73" s="166" t="s">
        <v>217</v>
      </c>
      <c r="E73" s="155">
        <v>520</v>
      </c>
    </row>
    <row r="74" spans="1:5" s="94" customFormat="1" ht="15" customHeight="1">
      <c r="A74" s="171"/>
      <c r="B74" s="171"/>
      <c r="C74" s="171"/>
      <c r="D74" s="166" t="s">
        <v>206</v>
      </c>
      <c r="E74" s="155">
        <v>480</v>
      </c>
    </row>
    <row r="75" spans="1:5" s="173" customFormat="1" ht="15" customHeight="1">
      <c r="A75" s="171"/>
      <c r="B75" s="171"/>
      <c r="C75" s="171"/>
      <c r="D75" s="166" t="s">
        <v>207</v>
      </c>
      <c r="E75" s="155">
        <v>520</v>
      </c>
    </row>
    <row r="76" spans="1:5" s="173" customFormat="1" ht="15" customHeight="1">
      <c r="A76" s="171"/>
      <c r="B76" s="171"/>
      <c r="C76" s="171"/>
      <c r="D76" s="166" t="s">
        <v>208</v>
      </c>
      <c r="E76" s="155">
        <v>520</v>
      </c>
    </row>
    <row r="77" spans="1:5" s="173" customFormat="1" ht="15" customHeight="1">
      <c r="A77" s="171"/>
      <c r="B77" s="171"/>
      <c r="C77" s="171"/>
      <c r="D77" s="166" t="s">
        <v>218</v>
      </c>
      <c r="E77" s="155">
        <v>520</v>
      </c>
    </row>
    <row r="78" spans="1:5" s="173" customFormat="1" ht="15" customHeight="1">
      <c r="A78" s="171"/>
      <c r="B78" s="171"/>
      <c r="C78" s="171"/>
      <c r="D78" s="166" t="s">
        <v>220</v>
      </c>
      <c r="E78" s="155">
        <v>520</v>
      </c>
    </row>
    <row r="79" spans="1:5" s="173" customFormat="1" ht="15" customHeight="1">
      <c r="A79" s="171"/>
      <c r="B79" s="171"/>
      <c r="C79" s="171"/>
      <c r="D79" s="166" t="s">
        <v>209</v>
      </c>
      <c r="E79" s="155">
        <v>520</v>
      </c>
    </row>
    <row r="80" spans="1:5" s="173" customFormat="1" ht="15" customHeight="1">
      <c r="A80" s="171"/>
      <c r="B80" s="171"/>
      <c r="C80" s="171"/>
      <c r="D80" s="166" t="s">
        <v>219</v>
      </c>
      <c r="E80" s="155">
        <v>520</v>
      </c>
    </row>
    <row r="81" spans="1:5" s="173" customFormat="1" ht="15" customHeight="1">
      <c r="A81" s="171"/>
      <c r="B81" s="171"/>
      <c r="C81" s="171"/>
      <c r="D81" s="166" t="s">
        <v>210</v>
      </c>
      <c r="E81" s="155">
        <v>520</v>
      </c>
    </row>
    <row r="82" spans="1:5" s="173" customFormat="1" ht="15" customHeight="1">
      <c r="A82" s="171"/>
      <c r="B82" s="171"/>
      <c r="C82" s="171"/>
      <c r="D82" s="166" t="s">
        <v>211</v>
      </c>
      <c r="E82" s="155">
        <v>520</v>
      </c>
    </row>
    <row r="83" spans="1:5" s="173" customFormat="1" ht="15" customHeight="1">
      <c r="A83" s="171"/>
      <c r="B83" s="171"/>
      <c r="C83" s="171"/>
      <c r="D83" s="166" t="s">
        <v>223</v>
      </c>
      <c r="E83" s="155">
        <v>520</v>
      </c>
    </row>
    <row r="84" spans="1:5" s="289" customFormat="1" ht="27.75" customHeight="1">
      <c r="A84" s="2"/>
      <c r="B84" s="290">
        <v>75075</v>
      </c>
      <c r="C84" s="2"/>
      <c r="D84" s="79" t="s">
        <v>419</v>
      </c>
      <c r="E84" s="74">
        <f>E85+E108+E89</f>
        <v>26450</v>
      </c>
    </row>
    <row r="85" spans="1:5" s="173" customFormat="1" ht="21.75" customHeight="1">
      <c r="A85" s="101"/>
      <c r="B85" s="170"/>
      <c r="C85" s="101">
        <v>4170</v>
      </c>
      <c r="D85" s="80" t="s">
        <v>299</v>
      </c>
      <c r="E85" s="148">
        <f>E86+E87+E88</f>
        <v>1600</v>
      </c>
    </row>
    <row r="86" spans="1:5" s="173" customFormat="1" ht="15" customHeight="1">
      <c r="A86" s="151"/>
      <c r="B86" s="275"/>
      <c r="C86" s="151"/>
      <c r="D86" s="80" t="s">
        <v>420</v>
      </c>
      <c r="E86" s="155">
        <v>700</v>
      </c>
    </row>
    <row r="87" spans="1:5" s="173" customFormat="1" ht="15" customHeight="1">
      <c r="A87" s="151"/>
      <c r="B87" s="275"/>
      <c r="C87" s="151"/>
      <c r="D87" s="80" t="s">
        <v>421</v>
      </c>
      <c r="E87" s="155">
        <v>200</v>
      </c>
    </row>
    <row r="88" spans="1:5" s="173" customFormat="1" ht="15" customHeight="1">
      <c r="A88" s="151"/>
      <c r="B88" s="275"/>
      <c r="C88" s="151"/>
      <c r="D88" s="80" t="s">
        <v>422</v>
      </c>
      <c r="E88" s="155">
        <v>700</v>
      </c>
    </row>
    <row r="89" spans="1:5" s="173" customFormat="1" ht="21.75" customHeight="1">
      <c r="A89" s="170"/>
      <c r="B89" s="170"/>
      <c r="C89" s="170" t="s">
        <v>221</v>
      </c>
      <c r="D89" s="80" t="s">
        <v>106</v>
      </c>
      <c r="E89" s="148">
        <f>E90+E91+E92+E93+E94+E95+E96+E97+E98+E99+E100+E101+E102+E103+E104+E105+E106+E107</f>
        <v>21150</v>
      </c>
    </row>
    <row r="90" spans="1:5" s="173" customFormat="1" ht="15" customHeight="1">
      <c r="A90" s="171"/>
      <c r="B90" s="171"/>
      <c r="C90" s="171"/>
      <c r="D90" s="166" t="s">
        <v>212</v>
      </c>
      <c r="E90" s="155">
        <v>700</v>
      </c>
    </row>
    <row r="91" spans="1:5" s="173" customFormat="1" ht="15" customHeight="1">
      <c r="A91" s="171"/>
      <c r="B91" s="171"/>
      <c r="C91" s="171"/>
      <c r="D91" s="166" t="s">
        <v>213</v>
      </c>
      <c r="E91" s="155">
        <v>500</v>
      </c>
    </row>
    <row r="92" spans="1:5" s="173" customFormat="1" ht="15" customHeight="1">
      <c r="A92" s="171"/>
      <c r="B92" s="171"/>
      <c r="C92" s="171"/>
      <c r="D92" s="166" t="s">
        <v>222</v>
      </c>
      <c r="E92" s="155">
        <v>600</v>
      </c>
    </row>
    <row r="93" spans="1:5" s="94" customFormat="1" ht="15" customHeight="1">
      <c r="A93" s="171"/>
      <c r="B93" s="171"/>
      <c r="C93" s="171"/>
      <c r="D93" s="166" t="s">
        <v>214</v>
      </c>
      <c r="E93" s="155">
        <v>2000</v>
      </c>
    </row>
    <row r="94" spans="1:5" s="175" customFormat="1" ht="15" customHeight="1">
      <c r="A94" s="171"/>
      <c r="B94" s="171"/>
      <c r="C94" s="171"/>
      <c r="D94" s="166" t="s">
        <v>215</v>
      </c>
      <c r="E94" s="155">
        <v>800</v>
      </c>
    </row>
    <row r="95" spans="1:5" s="173" customFormat="1" ht="15" customHeight="1">
      <c r="A95" s="171"/>
      <c r="B95" s="171"/>
      <c r="C95" s="171"/>
      <c r="D95" s="166" t="s">
        <v>216</v>
      </c>
      <c r="E95" s="155">
        <v>500</v>
      </c>
    </row>
    <row r="96" spans="1:5" s="173" customFormat="1" ht="15" customHeight="1">
      <c r="A96" s="171"/>
      <c r="B96" s="171"/>
      <c r="C96" s="171"/>
      <c r="D96" s="166" t="s">
        <v>203</v>
      </c>
      <c r="E96" s="155">
        <v>2500</v>
      </c>
    </row>
    <row r="97" spans="1:5" s="173" customFormat="1" ht="15" customHeight="1">
      <c r="A97" s="171"/>
      <c r="B97" s="171"/>
      <c r="C97" s="171"/>
      <c r="D97" s="166" t="s">
        <v>204</v>
      </c>
      <c r="E97" s="155">
        <v>1150</v>
      </c>
    </row>
    <row r="98" spans="1:5" s="173" customFormat="1" ht="15" customHeight="1">
      <c r="A98" s="171"/>
      <c r="B98" s="171"/>
      <c r="C98" s="171"/>
      <c r="D98" s="166" t="s">
        <v>217</v>
      </c>
      <c r="E98" s="155">
        <v>1500</v>
      </c>
    </row>
    <row r="99" spans="1:5" s="173" customFormat="1" ht="15" customHeight="1">
      <c r="A99" s="171"/>
      <c r="B99" s="171"/>
      <c r="C99" s="171"/>
      <c r="D99" s="166" t="s">
        <v>205</v>
      </c>
      <c r="E99" s="155">
        <v>600</v>
      </c>
    </row>
    <row r="100" spans="1:5" s="173" customFormat="1" ht="15" customHeight="1">
      <c r="A100" s="171"/>
      <c r="B100" s="171"/>
      <c r="C100" s="171"/>
      <c r="D100" s="166" t="s">
        <v>206</v>
      </c>
      <c r="E100" s="155">
        <v>3000</v>
      </c>
    </row>
    <row r="101" spans="1:5" s="173" customFormat="1" ht="15" customHeight="1">
      <c r="A101" s="171"/>
      <c r="B101" s="171"/>
      <c r="C101" s="171"/>
      <c r="D101" s="166" t="s">
        <v>208</v>
      </c>
      <c r="E101" s="155">
        <v>400</v>
      </c>
    </row>
    <row r="102" spans="1:5" s="173" customFormat="1" ht="15" customHeight="1">
      <c r="A102" s="171"/>
      <c r="B102" s="171"/>
      <c r="C102" s="171"/>
      <c r="D102" s="166" t="s">
        <v>423</v>
      </c>
      <c r="E102" s="155">
        <v>1000</v>
      </c>
    </row>
    <row r="103" spans="1:5" s="173" customFormat="1" ht="15" customHeight="1">
      <c r="A103" s="171"/>
      <c r="B103" s="171"/>
      <c r="C103" s="171"/>
      <c r="D103" s="166" t="s">
        <v>220</v>
      </c>
      <c r="E103" s="155">
        <v>1000</v>
      </c>
    </row>
    <row r="104" spans="1:5" s="173" customFormat="1" ht="15" customHeight="1">
      <c r="A104" s="171"/>
      <c r="B104" s="171"/>
      <c r="C104" s="171"/>
      <c r="D104" s="166" t="s">
        <v>209</v>
      </c>
      <c r="E104" s="155">
        <v>2500</v>
      </c>
    </row>
    <row r="105" spans="1:5" s="173" customFormat="1" ht="15" customHeight="1">
      <c r="A105" s="171"/>
      <c r="B105" s="171"/>
      <c r="C105" s="171"/>
      <c r="D105" s="166" t="s">
        <v>219</v>
      </c>
      <c r="E105" s="155">
        <v>1000</v>
      </c>
    </row>
    <row r="106" spans="1:5" s="173" customFormat="1" ht="15" customHeight="1">
      <c r="A106" s="171"/>
      <c r="B106" s="171"/>
      <c r="C106" s="171"/>
      <c r="D106" s="166" t="s">
        <v>211</v>
      </c>
      <c r="E106" s="155">
        <v>400</v>
      </c>
    </row>
    <row r="107" spans="1:5" s="173" customFormat="1" ht="15" customHeight="1">
      <c r="A107" s="171"/>
      <c r="B107" s="171"/>
      <c r="C107" s="171"/>
      <c r="D107" s="166" t="s">
        <v>223</v>
      </c>
      <c r="E107" s="155">
        <v>1000</v>
      </c>
    </row>
    <row r="108" spans="1:5" s="173" customFormat="1" ht="21.75" customHeight="1">
      <c r="A108" s="170"/>
      <c r="B108" s="170"/>
      <c r="C108" s="170">
        <v>4300</v>
      </c>
      <c r="D108" s="80" t="s">
        <v>93</v>
      </c>
      <c r="E108" s="148">
        <f>E109+E110</f>
        <v>3700</v>
      </c>
    </row>
    <row r="109" spans="1:5" s="175" customFormat="1" ht="15" customHeight="1">
      <c r="A109" s="171"/>
      <c r="B109" s="171"/>
      <c r="C109" s="171"/>
      <c r="D109" s="166" t="s">
        <v>205</v>
      </c>
      <c r="E109" s="155">
        <v>1600</v>
      </c>
    </row>
    <row r="110" spans="1:5" s="175" customFormat="1" ht="15" customHeight="1">
      <c r="A110" s="171"/>
      <c r="B110" s="171"/>
      <c r="C110" s="171"/>
      <c r="D110" s="166" t="s">
        <v>208</v>
      </c>
      <c r="E110" s="155">
        <v>2100</v>
      </c>
    </row>
    <row r="111" spans="1:5" s="289" customFormat="1" ht="30.75" customHeight="1">
      <c r="A111" s="60">
        <v>754</v>
      </c>
      <c r="B111" s="6"/>
      <c r="C111" s="6"/>
      <c r="D111" s="36" t="s">
        <v>26</v>
      </c>
      <c r="E111" s="29">
        <f>E112</f>
        <v>5000</v>
      </c>
    </row>
    <row r="112" spans="1:5" s="173" customFormat="1" ht="21.75" customHeight="1">
      <c r="A112" s="170"/>
      <c r="B112" s="170">
        <v>75412</v>
      </c>
      <c r="C112" s="101"/>
      <c r="D112" s="80" t="s">
        <v>115</v>
      </c>
      <c r="E112" s="148">
        <f>E113</f>
        <v>5000</v>
      </c>
    </row>
    <row r="113" spans="1:5" s="173" customFormat="1" ht="21.75" customHeight="1">
      <c r="A113" s="170"/>
      <c r="B113" s="101"/>
      <c r="C113" s="170">
        <v>4210</v>
      </c>
      <c r="D113" s="80" t="s">
        <v>225</v>
      </c>
      <c r="E113" s="148">
        <f>E114+E115+E116</f>
        <v>5000</v>
      </c>
    </row>
    <row r="114" spans="1:5" s="169" customFormat="1" ht="15" customHeight="1">
      <c r="A114" s="170"/>
      <c r="B114" s="101"/>
      <c r="C114" s="170"/>
      <c r="D114" s="166" t="s">
        <v>215</v>
      </c>
      <c r="E114" s="155">
        <v>2000</v>
      </c>
    </row>
    <row r="115" spans="1:5" s="94" customFormat="1" ht="15" customHeight="1">
      <c r="A115" s="170"/>
      <c r="B115" s="101"/>
      <c r="C115" s="170"/>
      <c r="D115" s="166" t="s">
        <v>216</v>
      </c>
      <c r="E115" s="155">
        <v>1000</v>
      </c>
    </row>
    <row r="116" spans="1:5" s="94" customFormat="1" ht="15" customHeight="1">
      <c r="A116" s="170"/>
      <c r="B116" s="101"/>
      <c r="C116" s="170"/>
      <c r="D116" s="166" t="s">
        <v>208</v>
      </c>
      <c r="E116" s="155">
        <v>2000</v>
      </c>
    </row>
    <row r="117" spans="1:5" s="75" customFormat="1" ht="21.75" customHeight="1">
      <c r="A117" s="60" t="s">
        <v>126</v>
      </c>
      <c r="B117" s="6"/>
      <c r="C117" s="6"/>
      <c r="D117" s="36" t="s">
        <v>127</v>
      </c>
      <c r="E117" s="29">
        <f>E118+E126+E131</f>
        <v>6000</v>
      </c>
    </row>
    <row r="118" spans="1:5" s="169" customFormat="1" ht="21.75" customHeight="1">
      <c r="A118" s="170"/>
      <c r="B118" s="170" t="s">
        <v>128</v>
      </c>
      <c r="C118" s="101"/>
      <c r="D118" s="80" t="s">
        <v>62</v>
      </c>
      <c r="E118" s="148">
        <f>E119</f>
        <v>4000</v>
      </c>
    </row>
    <row r="119" spans="1:5" s="94" customFormat="1" ht="21.75" customHeight="1">
      <c r="A119" s="170"/>
      <c r="B119" s="170"/>
      <c r="C119" s="170">
        <v>4300</v>
      </c>
      <c r="D119" s="80" t="s">
        <v>93</v>
      </c>
      <c r="E119" s="148">
        <f>E120+E121+E122+E123+E124+E125</f>
        <v>4000</v>
      </c>
    </row>
    <row r="120" spans="1:5" s="94" customFormat="1" ht="15" customHeight="1">
      <c r="A120" s="170"/>
      <c r="B120" s="170"/>
      <c r="C120" s="170"/>
      <c r="D120" s="166" t="s">
        <v>214</v>
      </c>
      <c r="E120" s="148">
        <v>1000</v>
      </c>
    </row>
    <row r="121" spans="1:5" s="94" customFormat="1" ht="15" customHeight="1">
      <c r="A121" s="171"/>
      <c r="B121" s="171"/>
      <c r="C121" s="171"/>
      <c r="D121" s="166" t="s">
        <v>215</v>
      </c>
      <c r="E121" s="155">
        <v>1000</v>
      </c>
    </row>
    <row r="122" spans="1:5" s="94" customFormat="1" ht="15" customHeight="1">
      <c r="A122" s="171"/>
      <c r="B122" s="171"/>
      <c r="C122" s="171"/>
      <c r="D122" s="166" t="s">
        <v>216</v>
      </c>
      <c r="E122" s="155">
        <v>500</v>
      </c>
    </row>
    <row r="123" spans="1:5" s="94" customFormat="1" ht="15" customHeight="1">
      <c r="A123" s="171"/>
      <c r="B123" s="171"/>
      <c r="C123" s="171"/>
      <c r="D123" s="166" t="s">
        <v>217</v>
      </c>
      <c r="E123" s="155">
        <v>500</v>
      </c>
    </row>
    <row r="124" spans="1:5" s="94" customFormat="1" ht="15" customHeight="1">
      <c r="A124" s="171"/>
      <c r="B124" s="171"/>
      <c r="C124" s="171"/>
      <c r="D124" s="166" t="s">
        <v>203</v>
      </c>
      <c r="E124" s="155">
        <v>500</v>
      </c>
    </row>
    <row r="125" spans="1:5" s="94" customFormat="1" ht="15" customHeight="1">
      <c r="A125" s="171"/>
      <c r="B125" s="171"/>
      <c r="C125" s="171"/>
      <c r="D125" s="166" t="s">
        <v>208</v>
      </c>
      <c r="E125" s="155">
        <v>500</v>
      </c>
    </row>
    <row r="126" spans="1:5" s="94" customFormat="1" ht="21.75" customHeight="1">
      <c r="A126" s="102"/>
      <c r="B126" s="102">
        <v>80103</v>
      </c>
      <c r="C126" s="102"/>
      <c r="D126" s="100" t="s">
        <v>340</v>
      </c>
      <c r="E126" s="148">
        <f>E127</f>
        <v>1500</v>
      </c>
    </row>
    <row r="127" spans="1:5" s="94" customFormat="1" ht="21.75" customHeight="1">
      <c r="A127" s="102"/>
      <c r="B127" s="102"/>
      <c r="C127" s="102">
        <v>4300</v>
      </c>
      <c r="D127" s="80" t="s">
        <v>93</v>
      </c>
      <c r="E127" s="148">
        <f>E128+E129+E130</f>
        <v>1500</v>
      </c>
    </row>
    <row r="128" spans="1:5" s="94" customFormat="1" ht="15" customHeight="1">
      <c r="A128" s="171"/>
      <c r="B128" s="171"/>
      <c r="C128" s="171"/>
      <c r="D128" s="166" t="s">
        <v>215</v>
      </c>
      <c r="E128" s="155">
        <v>500</v>
      </c>
    </row>
    <row r="129" spans="1:5" s="94" customFormat="1" ht="15" customHeight="1">
      <c r="A129" s="171"/>
      <c r="B129" s="171"/>
      <c r="C129" s="171"/>
      <c r="D129" s="166" t="s">
        <v>216</v>
      </c>
      <c r="E129" s="155">
        <v>500</v>
      </c>
    </row>
    <row r="130" spans="1:5" s="94" customFormat="1" ht="15" customHeight="1">
      <c r="A130" s="171"/>
      <c r="B130" s="171"/>
      <c r="C130" s="171"/>
      <c r="D130" s="166" t="s">
        <v>217</v>
      </c>
      <c r="E130" s="155">
        <v>500</v>
      </c>
    </row>
    <row r="131" spans="1:5" s="94" customFormat="1" ht="21.75" customHeight="1">
      <c r="A131" s="170"/>
      <c r="B131" s="170">
        <v>80110</v>
      </c>
      <c r="C131" s="101"/>
      <c r="D131" s="80" t="s">
        <v>63</v>
      </c>
      <c r="E131" s="148">
        <f>E132</f>
        <v>500</v>
      </c>
    </row>
    <row r="132" spans="1:5" s="94" customFormat="1" ht="21.75" customHeight="1">
      <c r="A132" s="170"/>
      <c r="B132" s="170"/>
      <c r="C132" s="101">
        <v>4300</v>
      </c>
      <c r="D132" s="80" t="s">
        <v>93</v>
      </c>
      <c r="E132" s="148">
        <f>E133</f>
        <v>500</v>
      </c>
    </row>
    <row r="133" spans="1:5" s="94" customFormat="1" ht="15" customHeight="1">
      <c r="A133" s="172"/>
      <c r="B133" s="172"/>
      <c r="C133" s="176"/>
      <c r="D133" s="166" t="s">
        <v>208</v>
      </c>
      <c r="E133" s="155">
        <v>500</v>
      </c>
    </row>
    <row r="134" spans="1:5" s="288" customFormat="1" ht="21.75" customHeight="1">
      <c r="A134" s="60">
        <v>854</v>
      </c>
      <c r="B134" s="6"/>
      <c r="C134" s="6"/>
      <c r="D134" s="36" t="s">
        <v>71</v>
      </c>
      <c r="E134" s="29">
        <f>E135</f>
        <v>13550</v>
      </c>
    </row>
    <row r="135" spans="1:5" s="94" customFormat="1" ht="33.75">
      <c r="A135" s="170"/>
      <c r="B135" s="170">
        <v>85412</v>
      </c>
      <c r="C135" s="101"/>
      <c r="D135" s="80" t="s">
        <v>261</v>
      </c>
      <c r="E135" s="148">
        <f>E136+E138</f>
        <v>13550</v>
      </c>
    </row>
    <row r="136" spans="1:5" s="94" customFormat="1" ht="21.75" customHeight="1">
      <c r="A136" s="170"/>
      <c r="B136" s="170"/>
      <c r="C136" s="101">
        <v>4210</v>
      </c>
      <c r="D136" s="80" t="s">
        <v>86</v>
      </c>
      <c r="E136" s="148">
        <f>E137</f>
        <v>500</v>
      </c>
    </row>
    <row r="137" spans="1:5" s="94" customFormat="1" ht="15" customHeight="1">
      <c r="A137" s="170"/>
      <c r="B137" s="170"/>
      <c r="C137" s="101"/>
      <c r="D137" s="80" t="s">
        <v>424</v>
      </c>
      <c r="E137" s="148">
        <v>500</v>
      </c>
    </row>
    <row r="138" spans="1:5" s="94" customFormat="1" ht="21.75" customHeight="1">
      <c r="A138" s="170"/>
      <c r="B138" s="170"/>
      <c r="C138" s="101">
        <v>4300</v>
      </c>
      <c r="D138" s="80" t="s">
        <v>93</v>
      </c>
      <c r="E138" s="148">
        <f>E139+E140+E141+E142</f>
        <v>13050</v>
      </c>
    </row>
    <row r="139" spans="1:5" s="94" customFormat="1" ht="15" customHeight="1">
      <c r="A139" s="172"/>
      <c r="B139" s="172"/>
      <c r="C139" s="176"/>
      <c r="D139" s="166" t="s">
        <v>212</v>
      </c>
      <c r="E139" s="155">
        <v>1930</v>
      </c>
    </row>
    <row r="140" spans="1:5" s="169" customFormat="1" ht="15" customHeight="1">
      <c r="A140" s="172"/>
      <c r="B140" s="172"/>
      <c r="C140" s="176"/>
      <c r="D140" s="166" t="s">
        <v>216</v>
      </c>
      <c r="E140" s="155">
        <v>8420</v>
      </c>
    </row>
    <row r="141" spans="1:5" s="94" customFormat="1" ht="15" customHeight="1">
      <c r="A141" s="172"/>
      <c r="B141" s="172"/>
      <c r="C141" s="176"/>
      <c r="D141" s="166" t="s">
        <v>208</v>
      </c>
      <c r="E141" s="155">
        <v>700</v>
      </c>
    </row>
    <row r="142" spans="1:5" s="94" customFormat="1" ht="15" customHeight="1">
      <c r="A142" s="172"/>
      <c r="B142" s="172"/>
      <c r="C142" s="176"/>
      <c r="D142" s="166" t="s">
        <v>209</v>
      </c>
      <c r="E142" s="155">
        <v>2000</v>
      </c>
    </row>
    <row r="143" spans="1:5" s="75" customFormat="1" ht="25.5" customHeight="1">
      <c r="A143" s="60" t="s">
        <v>146</v>
      </c>
      <c r="B143" s="6"/>
      <c r="C143" s="6"/>
      <c r="D143" s="36" t="s">
        <v>73</v>
      </c>
      <c r="E143" s="29">
        <v>56520</v>
      </c>
    </row>
    <row r="144" spans="1:5" s="94" customFormat="1" ht="21.75" customHeight="1">
      <c r="A144" s="170"/>
      <c r="B144" s="170" t="s">
        <v>148</v>
      </c>
      <c r="C144" s="101"/>
      <c r="D144" s="80" t="s">
        <v>149</v>
      </c>
      <c r="E144" s="148">
        <f>E145</f>
        <v>8000</v>
      </c>
    </row>
    <row r="145" spans="1:5" s="94" customFormat="1" ht="21.75" customHeight="1">
      <c r="A145" s="170"/>
      <c r="B145" s="170"/>
      <c r="C145" s="101">
        <v>4300</v>
      </c>
      <c r="D145" s="97" t="s">
        <v>93</v>
      </c>
      <c r="E145" s="148">
        <f>E146+E147+E148+E149+E150+E151+E152+E153+E154</f>
        <v>8000</v>
      </c>
    </row>
    <row r="146" spans="1:5" s="94" customFormat="1" ht="15" customHeight="1">
      <c r="A146" s="171"/>
      <c r="B146" s="171"/>
      <c r="C146" s="171"/>
      <c r="D146" s="166" t="s">
        <v>222</v>
      </c>
      <c r="E146" s="155">
        <v>400</v>
      </c>
    </row>
    <row r="147" spans="1:5" s="94" customFormat="1" ht="15" customHeight="1">
      <c r="A147" s="171"/>
      <c r="B147" s="171"/>
      <c r="C147" s="171"/>
      <c r="D147" s="166" t="s">
        <v>214</v>
      </c>
      <c r="E147" s="155">
        <v>2000</v>
      </c>
    </row>
    <row r="148" spans="1:5" s="94" customFormat="1" ht="15" customHeight="1">
      <c r="A148" s="171"/>
      <c r="B148" s="171"/>
      <c r="C148" s="171"/>
      <c r="D148" s="166" t="s">
        <v>204</v>
      </c>
      <c r="E148" s="155">
        <v>800</v>
      </c>
    </row>
    <row r="149" spans="1:5" s="94" customFormat="1" ht="15" customHeight="1">
      <c r="A149" s="171"/>
      <c r="B149" s="171"/>
      <c r="C149" s="171"/>
      <c r="D149" s="166" t="s">
        <v>205</v>
      </c>
      <c r="E149" s="155">
        <v>1000</v>
      </c>
    </row>
    <row r="150" spans="1:5" s="94" customFormat="1" ht="15" customHeight="1">
      <c r="A150" s="171"/>
      <c r="B150" s="171"/>
      <c r="C150" s="171"/>
      <c r="D150" s="166" t="s">
        <v>206</v>
      </c>
      <c r="E150" s="155">
        <v>700</v>
      </c>
    </row>
    <row r="151" spans="1:5" s="94" customFormat="1" ht="15" customHeight="1">
      <c r="A151" s="171"/>
      <c r="B151" s="171"/>
      <c r="C151" s="171"/>
      <c r="D151" s="166" t="s">
        <v>208</v>
      </c>
      <c r="E151" s="155">
        <v>1500</v>
      </c>
    </row>
    <row r="152" spans="1:5" s="94" customFormat="1" ht="15" customHeight="1">
      <c r="A152" s="171"/>
      <c r="B152" s="171"/>
      <c r="C152" s="171"/>
      <c r="D152" s="166" t="s">
        <v>218</v>
      </c>
      <c r="E152" s="155">
        <v>300</v>
      </c>
    </row>
    <row r="153" spans="1:5" s="94" customFormat="1" ht="15" customHeight="1">
      <c r="A153" s="171"/>
      <c r="B153" s="171"/>
      <c r="C153" s="171"/>
      <c r="D153" s="166" t="s">
        <v>220</v>
      </c>
      <c r="E153" s="155">
        <v>1000</v>
      </c>
    </row>
    <row r="154" spans="1:5" s="94" customFormat="1" ht="15" customHeight="1">
      <c r="A154" s="171"/>
      <c r="B154" s="171"/>
      <c r="C154" s="171"/>
      <c r="D154" s="166" t="s">
        <v>209</v>
      </c>
      <c r="E154" s="155">
        <v>300</v>
      </c>
    </row>
    <row r="155" spans="1:5" s="94" customFormat="1" ht="21.75" customHeight="1">
      <c r="A155" s="170"/>
      <c r="B155" s="170" t="s">
        <v>150</v>
      </c>
      <c r="C155" s="101"/>
      <c r="D155" s="80" t="s">
        <v>201</v>
      </c>
      <c r="E155" s="148">
        <f>E156+E173</f>
        <v>30550</v>
      </c>
    </row>
    <row r="156" spans="1:5" s="94" customFormat="1" ht="21.75" customHeight="1">
      <c r="A156" s="170"/>
      <c r="B156" s="170"/>
      <c r="C156" s="170" t="s">
        <v>221</v>
      </c>
      <c r="D156" s="80" t="s">
        <v>106</v>
      </c>
      <c r="E156" s="148">
        <f>E157+E158+E159+E160+E161+E162+E163+E164+E165+E166+E167+E168+E169+E170+E171+E172</f>
        <v>25850</v>
      </c>
    </row>
    <row r="157" spans="1:5" s="94" customFormat="1" ht="15" customHeight="1">
      <c r="A157" s="171"/>
      <c r="B157" s="171"/>
      <c r="C157" s="171"/>
      <c r="D157" s="166" t="s">
        <v>212</v>
      </c>
      <c r="E157" s="155">
        <v>500</v>
      </c>
    </row>
    <row r="158" spans="1:5" s="94" customFormat="1" ht="15" customHeight="1">
      <c r="A158" s="171"/>
      <c r="B158" s="171"/>
      <c r="C158" s="171"/>
      <c r="D158" s="166" t="s">
        <v>222</v>
      </c>
      <c r="E158" s="155">
        <v>500</v>
      </c>
    </row>
    <row r="159" spans="1:5" s="94" customFormat="1" ht="15" customHeight="1">
      <c r="A159" s="171"/>
      <c r="B159" s="171"/>
      <c r="C159" s="171"/>
      <c r="D159" s="166" t="s">
        <v>214</v>
      </c>
      <c r="E159" s="155">
        <v>100</v>
      </c>
    </row>
    <row r="160" spans="1:5" s="94" customFormat="1" ht="15" customHeight="1">
      <c r="A160" s="171"/>
      <c r="B160" s="171"/>
      <c r="C160" s="171"/>
      <c r="D160" s="166" t="s">
        <v>215</v>
      </c>
      <c r="E160" s="155">
        <v>500</v>
      </c>
    </row>
    <row r="161" spans="1:5" s="94" customFormat="1" ht="15" customHeight="1">
      <c r="A161" s="171"/>
      <c r="B161" s="171"/>
      <c r="C161" s="171"/>
      <c r="D161" s="166" t="s">
        <v>216</v>
      </c>
      <c r="E161" s="155">
        <v>600</v>
      </c>
    </row>
    <row r="162" spans="1:5" s="94" customFormat="1" ht="15" customHeight="1">
      <c r="A162" s="171"/>
      <c r="B162" s="171"/>
      <c r="C162" s="171"/>
      <c r="D162" s="166" t="s">
        <v>203</v>
      </c>
      <c r="E162" s="155">
        <v>400</v>
      </c>
    </row>
    <row r="163" spans="1:5" s="94" customFormat="1" ht="15" customHeight="1">
      <c r="A163" s="171"/>
      <c r="B163" s="171"/>
      <c r="C163" s="171"/>
      <c r="D163" s="166" t="s">
        <v>204</v>
      </c>
      <c r="E163" s="155">
        <v>820</v>
      </c>
    </row>
    <row r="164" spans="1:5" s="94" customFormat="1" ht="15" customHeight="1">
      <c r="A164" s="171"/>
      <c r="B164" s="171"/>
      <c r="C164" s="171"/>
      <c r="D164" s="166" t="s">
        <v>217</v>
      </c>
      <c r="E164" s="155">
        <v>12520</v>
      </c>
    </row>
    <row r="165" spans="1:5" s="94" customFormat="1" ht="15" customHeight="1">
      <c r="A165" s="171"/>
      <c r="B165" s="171"/>
      <c r="C165" s="171"/>
      <c r="D165" s="166" t="s">
        <v>205</v>
      </c>
      <c r="E165" s="155">
        <v>2300</v>
      </c>
    </row>
    <row r="166" spans="1:5" s="94" customFormat="1" ht="15" customHeight="1">
      <c r="A166" s="171"/>
      <c r="B166" s="171"/>
      <c r="C166" s="171"/>
      <c r="D166" s="166" t="s">
        <v>206</v>
      </c>
      <c r="E166" s="155">
        <v>200</v>
      </c>
    </row>
    <row r="167" spans="1:5" s="94" customFormat="1" ht="15" customHeight="1">
      <c r="A167" s="171"/>
      <c r="B167" s="171"/>
      <c r="C167" s="171"/>
      <c r="D167" s="166" t="s">
        <v>208</v>
      </c>
      <c r="E167" s="155">
        <v>3000</v>
      </c>
    </row>
    <row r="168" spans="1:5" s="94" customFormat="1" ht="15" customHeight="1">
      <c r="A168" s="171"/>
      <c r="B168" s="171"/>
      <c r="C168" s="171"/>
      <c r="D168" s="166" t="s">
        <v>218</v>
      </c>
      <c r="E168" s="155">
        <v>3200</v>
      </c>
    </row>
    <row r="169" spans="1:5" s="94" customFormat="1" ht="15" customHeight="1">
      <c r="A169" s="171"/>
      <c r="B169" s="171"/>
      <c r="C169" s="171"/>
      <c r="D169" s="166" t="s">
        <v>220</v>
      </c>
      <c r="E169" s="155">
        <v>160</v>
      </c>
    </row>
    <row r="170" spans="1:5" s="94" customFormat="1" ht="15" customHeight="1">
      <c r="A170" s="171"/>
      <c r="B170" s="171"/>
      <c r="C170" s="171"/>
      <c r="D170" s="166" t="s">
        <v>209</v>
      </c>
      <c r="E170" s="155">
        <v>250</v>
      </c>
    </row>
    <row r="171" spans="1:5" s="94" customFormat="1" ht="15" customHeight="1">
      <c r="A171" s="171"/>
      <c r="B171" s="171"/>
      <c r="C171" s="171"/>
      <c r="D171" s="166" t="s">
        <v>219</v>
      </c>
      <c r="E171" s="155">
        <v>500</v>
      </c>
    </row>
    <row r="172" spans="1:5" s="94" customFormat="1" ht="15" customHeight="1">
      <c r="A172" s="171"/>
      <c r="B172" s="171"/>
      <c r="C172" s="171"/>
      <c r="D172" s="166" t="s">
        <v>223</v>
      </c>
      <c r="E172" s="155">
        <v>300</v>
      </c>
    </row>
    <row r="173" spans="1:5" s="94" customFormat="1" ht="21.75" customHeight="1">
      <c r="A173" s="170"/>
      <c r="B173" s="170"/>
      <c r="C173" s="170" t="s">
        <v>224</v>
      </c>
      <c r="D173" s="80" t="s">
        <v>93</v>
      </c>
      <c r="E173" s="148">
        <f>E174+E175+E176</f>
        <v>4700</v>
      </c>
    </row>
    <row r="174" spans="1:5" s="94" customFormat="1" ht="15" customHeight="1">
      <c r="A174" s="170"/>
      <c r="B174" s="170"/>
      <c r="C174" s="170"/>
      <c r="D174" s="166" t="s">
        <v>222</v>
      </c>
      <c r="E174" s="155">
        <v>300</v>
      </c>
    </row>
    <row r="175" spans="1:5" s="94" customFormat="1" ht="15" customHeight="1">
      <c r="A175" s="170"/>
      <c r="B175" s="170"/>
      <c r="C175" s="170"/>
      <c r="D175" s="166" t="s">
        <v>203</v>
      </c>
      <c r="E175" s="155">
        <v>1600</v>
      </c>
    </row>
    <row r="176" spans="1:5" s="94" customFormat="1" ht="15" customHeight="1">
      <c r="A176" s="171"/>
      <c r="B176" s="171"/>
      <c r="C176" s="171"/>
      <c r="D176" s="166" t="s">
        <v>205</v>
      </c>
      <c r="E176" s="155">
        <v>2800</v>
      </c>
    </row>
    <row r="177" spans="1:5" s="94" customFormat="1" ht="21.75" customHeight="1">
      <c r="A177" s="170"/>
      <c r="B177" s="170" t="s">
        <v>156</v>
      </c>
      <c r="C177" s="101"/>
      <c r="D177" s="80" t="s">
        <v>157</v>
      </c>
      <c r="E177" s="148">
        <f>E178</f>
        <v>10000</v>
      </c>
    </row>
    <row r="178" spans="1:5" s="94" customFormat="1" ht="21.75" customHeight="1">
      <c r="A178" s="170"/>
      <c r="B178" s="101"/>
      <c r="C178" s="170">
        <v>6050</v>
      </c>
      <c r="D178" s="80" t="s">
        <v>87</v>
      </c>
      <c r="E178" s="148">
        <f>E179+E180+E181</f>
        <v>10000</v>
      </c>
    </row>
    <row r="179" spans="1:5" s="94" customFormat="1" ht="15" customHeight="1">
      <c r="A179" s="170"/>
      <c r="B179" s="101"/>
      <c r="C179" s="170"/>
      <c r="D179" s="166" t="s">
        <v>216</v>
      </c>
      <c r="E179" s="155">
        <v>3000</v>
      </c>
    </row>
    <row r="180" spans="1:5" s="94" customFormat="1" ht="15" customHeight="1">
      <c r="A180" s="171"/>
      <c r="B180" s="171"/>
      <c r="C180" s="171"/>
      <c r="D180" s="166" t="s">
        <v>203</v>
      </c>
      <c r="E180" s="155">
        <v>4000</v>
      </c>
    </row>
    <row r="181" spans="1:5" s="94" customFormat="1" ht="15" customHeight="1">
      <c r="A181" s="171"/>
      <c r="B181" s="171"/>
      <c r="C181" s="171"/>
      <c r="D181" s="166" t="s">
        <v>218</v>
      </c>
      <c r="E181" s="155">
        <v>3000</v>
      </c>
    </row>
    <row r="182" spans="1:5" s="94" customFormat="1" ht="21.75" customHeight="1">
      <c r="A182" s="170"/>
      <c r="B182" s="170">
        <v>90095</v>
      </c>
      <c r="C182" s="101"/>
      <c r="D182" s="80" t="s">
        <v>6</v>
      </c>
      <c r="E182" s="148">
        <f>E183+E187</f>
        <v>7970</v>
      </c>
    </row>
    <row r="183" spans="1:5" s="94" customFormat="1" ht="21.75" customHeight="1">
      <c r="A183" s="170"/>
      <c r="B183" s="170"/>
      <c r="C183" s="101">
        <v>4210</v>
      </c>
      <c r="D183" s="80" t="s">
        <v>86</v>
      </c>
      <c r="E183" s="148">
        <f>E184+E185+E186</f>
        <v>6970</v>
      </c>
    </row>
    <row r="184" spans="1:5" s="94" customFormat="1" ht="15" customHeight="1">
      <c r="A184" s="170"/>
      <c r="B184" s="170"/>
      <c r="C184" s="101"/>
      <c r="D184" s="166" t="s">
        <v>222</v>
      </c>
      <c r="E184" s="155">
        <v>1200</v>
      </c>
    </row>
    <row r="185" spans="1:5" s="94" customFormat="1" ht="15" customHeight="1">
      <c r="A185" s="170"/>
      <c r="B185" s="170"/>
      <c r="C185" s="101"/>
      <c r="D185" s="166" t="s">
        <v>203</v>
      </c>
      <c r="E185" s="155">
        <v>3000</v>
      </c>
    </row>
    <row r="186" spans="1:5" s="94" customFormat="1" ht="15" customHeight="1">
      <c r="A186" s="170"/>
      <c r="B186" s="170"/>
      <c r="C186" s="101"/>
      <c r="D186" s="166" t="s">
        <v>222</v>
      </c>
      <c r="E186" s="155">
        <v>2770</v>
      </c>
    </row>
    <row r="187" spans="1:5" s="94" customFormat="1" ht="21.75" customHeight="1">
      <c r="A187" s="170"/>
      <c r="B187" s="101"/>
      <c r="C187" s="101">
        <v>4300</v>
      </c>
      <c r="D187" s="97" t="s">
        <v>93</v>
      </c>
      <c r="E187" s="148">
        <f>E188</f>
        <v>1000</v>
      </c>
    </row>
    <row r="188" spans="1:5" s="94" customFormat="1" ht="15" customHeight="1">
      <c r="A188" s="170"/>
      <c r="B188" s="101"/>
      <c r="C188" s="101"/>
      <c r="D188" s="166" t="s">
        <v>214</v>
      </c>
      <c r="E188" s="155">
        <v>1000</v>
      </c>
    </row>
    <row r="189" spans="1:5" s="75" customFormat="1" ht="25.5" customHeight="1">
      <c r="A189" s="60" t="s">
        <v>76</v>
      </c>
      <c r="B189" s="6"/>
      <c r="C189" s="6"/>
      <c r="D189" s="36" t="s">
        <v>159</v>
      </c>
      <c r="E189" s="29">
        <v>42840</v>
      </c>
    </row>
    <row r="190" spans="1:5" s="169" customFormat="1" ht="21.75" customHeight="1">
      <c r="A190" s="170"/>
      <c r="B190" s="170" t="s">
        <v>160</v>
      </c>
      <c r="C190" s="101"/>
      <c r="D190" s="80" t="s">
        <v>200</v>
      </c>
      <c r="E190" s="148">
        <f>E191+E203+E218+E223</f>
        <v>42840</v>
      </c>
    </row>
    <row r="191" spans="1:5" s="94" customFormat="1" ht="21.75" customHeight="1">
      <c r="A191" s="170"/>
      <c r="B191" s="170"/>
      <c r="C191" s="170" t="s">
        <v>221</v>
      </c>
      <c r="D191" s="80" t="s">
        <v>106</v>
      </c>
      <c r="E191" s="148">
        <f>E192+E193+E194+E195+E196+E197+E198+E199+E200+E201+E202</f>
        <v>19400</v>
      </c>
    </row>
    <row r="192" spans="1:5" s="94" customFormat="1" ht="15" customHeight="1">
      <c r="A192" s="171"/>
      <c r="B192" s="171"/>
      <c r="C192" s="171"/>
      <c r="D192" s="166" t="s">
        <v>212</v>
      </c>
      <c r="E192" s="155">
        <v>700</v>
      </c>
    </row>
    <row r="193" spans="1:5" s="173" customFormat="1" ht="15" customHeight="1">
      <c r="A193" s="171"/>
      <c r="B193" s="171"/>
      <c r="C193" s="171"/>
      <c r="D193" s="166" t="s">
        <v>214</v>
      </c>
      <c r="E193" s="155">
        <v>500</v>
      </c>
    </row>
    <row r="194" spans="1:5" s="173" customFormat="1" ht="15" customHeight="1">
      <c r="A194" s="171"/>
      <c r="B194" s="171"/>
      <c r="C194" s="171"/>
      <c r="D194" s="166" t="s">
        <v>216</v>
      </c>
      <c r="E194" s="155">
        <v>500</v>
      </c>
    </row>
    <row r="195" spans="1:5" s="173" customFormat="1" ht="15" customHeight="1">
      <c r="A195" s="171"/>
      <c r="B195" s="171"/>
      <c r="C195" s="171"/>
      <c r="D195" s="166" t="s">
        <v>203</v>
      </c>
      <c r="E195" s="155">
        <v>1690</v>
      </c>
    </row>
    <row r="196" spans="1:5" s="94" customFormat="1" ht="15" customHeight="1">
      <c r="A196" s="171"/>
      <c r="B196" s="171"/>
      <c r="C196" s="171"/>
      <c r="D196" s="166" t="s">
        <v>204</v>
      </c>
      <c r="E196" s="155">
        <v>2990</v>
      </c>
    </row>
    <row r="197" spans="1:5" s="94" customFormat="1" ht="15" customHeight="1">
      <c r="A197" s="171"/>
      <c r="B197" s="171"/>
      <c r="C197" s="171"/>
      <c r="D197" s="166" t="s">
        <v>206</v>
      </c>
      <c r="E197" s="155">
        <v>2000</v>
      </c>
    </row>
    <row r="198" spans="1:5" s="94" customFormat="1" ht="15" customHeight="1">
      <c r="A198" s="171"/>
      <c r="B198" s="171"/>
      <c r="C198" s="171"/>
      <c r="D198" s="166" t="s">
        <v>205</v>
      </c>
      <c r="E198" s="155">
        <v>1000</v>
      </c>
    </row>
    <row r="199" spans="1:5" s="94" customFormat="1" ht="15" customHeight="1">
      <c r="A199" s="171"/>
      <c r="B199" s="171"/>
      <c r="C199" s="171"/>
      <c r="D199" s="166" t="s">
        <v>208</v>
      </c>
      <c r="E199" s="155">
        <v>1080</v>
      </c>
    </row>
    <row r="200" spans="1:5" s="94" customFormat="1" ht="15" customHeight="1">
      <c r="A200" s="171"/>
      <c r="B200" s="171"/>
      <c r="C200" s="171"/>
      <c r="D200" s="166" t="s">
        <v>209</v>
      </c>
      <c r="E200" s="155">
        <v>3290</v>
      </c>
    </row>
    <row r="201" spans="1:5" s="94" customFormat="1" ht="15" customHeight="1">
      <c r="A201" s="171"/>
      <c r="B201" s="171"/>
      <c r="C201" s="171"/>
      <c r="D201" s="166" t="s">
        <v>215</v>
      </c>
      <c r="E201" s="155">
        <v>5350</v>
      </c>
    </row>
    <row r="202" spans="1:5" s="94" customFormat="1" ht="15" customHeight="1">
      <c r="A202" s="171"/>
      <c r="B202" s="171"/>
      <c r="C202" s="171"/>
      <c r="D202" s="166" t="s">
        <v>210</v>
      </c>
      <c r="E202" s="155">
        <v>300</v>
      </c>
    </row>
    <row r="203" spans="1:5" s="94" customFormat="1" ht="21.75" customHeight="1">
      <c r="A203" s="170"/>
      <c r="B203" s="170"/>
      <c r="C203" s="170" t="s">
        <v>226</v>
      </c>
      <c r="D203" s="80" t="s">
        <v>109</v>
      </c>
      <c r="E203" s="148">
        <f>E204+E205+E206+E207+E208+E209+E210+E211+E212+E213+E214+E215+E216+E217</f>
        <v>11630</v>
      </c>
    </row>
    <row r="204" spans="1:5" s="94" customFormat="1" ht="15" customHeight="1">
      <c r="A204" s="171"/>
      <c r="B204" s="171"/>
      <c r="C204" s="171"/>
      <c r="D204" s="166" t="s">
        <v>212</v>
      </c>
      <c r="E204" s="155">
        <v>950</v>
      </c>
    </row>
    <row r="205" spans="1:5" s="94" customFormat="1" ht="15" customHeight="1">
      <c r="A205" s="171"/>
      <c r="B205" s="171"/>
      <c r="C205" s="171"/>
      <c r="D205" s="166" t="s">
        <v>213</v>
      </c>
      <c r="E205" s="155">
        <v>450</v>
      </c>
    </row>
    <row r="206" spans="1:5" s="94" customFormat="1" ht="15" customHeight="1">
      <c r="A206" s="171"/>
      <c r="B206" s="171"/>
      <c r="C206" s="171"/>
      <c r="D206" s="166" t="s">
        <v>214</v>
      </c>
      <c r="E206" s="155">
        <v>1070</v>
      </c>
    </row>
    <row r="207" spans="1:5" s="94" customFormat="1" ht="15" customHeight="1">
      <c r="A207" s="171"/>
      <c r="B207" s="171"/>
      <c r="C207" s="171"/>
      <c r="D207" s="166" t="s">
        <v>215</v>
      </c>
      <c r="E207" s="155">
        <v>500</v>
      </c>
    </row>
    <row r="208" spans="1:5" s="94" customFormat="1" ht="15" customHeight="1">
      <c r="A208" s="171"/>
      <c r="B208" s="171"/>
      <c r="C208" s="171"/>
      <c r="D208" s="166" t="s">
        <v>216</v>
      </c>
      <c r="E208" s="155">
        <v>1600</v>
      </c>
    </row>
    <row r="209" spans="1:5" s="94" customFormat="1" ht="15" customHeight="1">
      <c r="A209" s="171"/>
      <c r="B209" s="171"/>
      <c r="C209" s="171"/>
      <c r="D209" s="166" t="s">
        <v>203</v>
      </c>
      <c r="E209" s="155">
        <v>1000</v>
      </c>
    </row>
    <row r="210" spans="1:5" s="94" customFormat="1" ht="15" customHeight="1">
      <c r="A210" s="171"/>
      <c r="B210" s="171"/>
      <c r="C210" s="171"/>
      <c r="D210" s="166" t="s">
        <v>204</v>
      </c>
      <c r="E210" s="155">
        <v>500</v>
      </c>
    </row>
    <row r="211" spans="1:5" s="94" customFormat="1" ht="15" customHeight="1">
      <c r="A211" s="171"/>
      <c r="B211" s="171"/>
      <c r="C211" s="171"/>
      <c r="D211" s="166" t="s">
        <v>210</v>
      </c>
      <c r="E211" s="155">
        <v>260</v>
      </c>
    </row>
    <row r="212" spans="1:5" s="94" customFormat="1" ht="15" customHeight="1">
      <c r="A212" s="171"/>
      <c r="B212" s="171"/>
      <c r="C212" s="171"/>
      <c r="D212" s="166" t="s">
        <v>205</v>
      </c>
      <c r="E212" s="155">
        <v>500</v>
      </c>
    </row>
    <row r="213" spans="1:5" s="94" customFormat="1" ht="15" customHeight="1">
      <c r="A213" s="171"/>
      <c r="B213" s="171"/>
      <c r="C213" s="171"/>
      <c r="D213" s="166" t="s">
        <v>208</v>
      </c>
      <c r="E213" s="155">
        <v>1400</v>
      </c>
    </row>
    <row r="214" spans="1:5" s="94" customFormat="1" ht="15" customHeight="1">
      <c r="A214" s="171"/>
      <c r="B214" s="171"/>
      <c r="C214" s="171"/>
      <c r="D214" s="166" t="s">
        <v>220</v>
      </c>
      <c r="E214" s="155">
        <v>1050</v>
      </c>
    </row>
    <row r="215" spans="1:5" s="94" customFormat="1" ht="15" customHeight="1">
      <c r="A215" s="171"/>
      <c r="B215" s="171"/>
      <c r="C215" s="171"/>
      <c r="D215" s="166" t="s">
        <v>209</v>
      </c>
      <c r="E215" s="155">
        <v>1200</v>
      </c>
    </row>
    <row r="216" spans="1:5" s="94" customFormat="1" ht="15" customHeight="1">
      <c r="A216" s="171"/>
      <c r="B216" s="171"/>
      <c r="C216" s="171"/>
      <c r="D216" s="166" t="s">
        <v>219</v>
      </c>
      <c r="E216" s="155">
        <v>400</v>
      </c>
    </row>
    <row r="217" spans="1:5" s="94" customFormat="1" ht="15" customHeight="1">
      <c r="A217" s="171"/>
      <c r="B217" s="171"/>
      <c r="C217" s="171"/>
      <c r="D217" s="166" t="s">
        <v>223</v>
      </c>
      <c r="E217" s="155">
        <v>750</v>
      </c>
    </row>
    <row r="218" spans="1:5" s="94" customFormat="1" ht="21.75" customHeight="1">
      <c r="A218" s="170"/>
      <c r="B218" s="170"/>
      <c r="C218" s="101">
        <v>4300</v>
      </c>
      <c r="D218" s="97" t="s">
        <v>93</v>
      </c>
      <c r="E218" s="148">
        <f>E219+E220+E221+E222</f>
        <v>10825</v>
      </c>
    </row>
    <row r="219" spans="1:5" s="94" customFormat="1" ht="15" customHeight="1">
      <c r="A219" s="171"/>
      <c r="B219" s="171"/>
      <c r="C219" s="171"/>
      <c r="D219" s="166" t="s">
        <v>213</v>
      </c>
      <c r="E219" s="155">
        <v>4350</v>
      </c>
    </row>
    <row r="220" spans="1:5" s="94" customFormat="1" ht="15" customHeight="1">
      <c r="A220" s="171"/>
      <c r="B220" s="171"/>
      <c r="C220" s="171"/>
      <c r="D220" s="166" t="s">
        <v>209</v>
      </c>
      <c r="E220" s="155">
        <v>100</v>
      </c>
    </row>
    <row r="221" spans="1:5" s="94" customFormat="1" ht="15" customHeight="1">
      <c r="A221" s="171"/>
      <c r="B221" s="171"/>
      <c r="C221" s="171"/>
      <c r="D221" s="166" t="s">
        <v>219</v>
      </c>
      <c r="E221" s="155">
        <v>720</v>
      </c>
    </row>
    <row r="222" spans="1:5" s="94" customFormat="1" ht="15" customHeight="1">
      <c r="A222" s="171"/>
      <c r="B222" s="171"/>
      <c r="C222" s="171"/>
      <c r="D222" s="166" t="s">
        <v>223</v>
      </c>
      <c r="E222" s="155">
        <v>5655</v>
      </c>
    </row>
    <row r="223" spans="1:5" s="173" customFormat="1" ht="21.75" customHeight="1">
      <c r="A223" s="170"/>
      <c r="B223" s="170"/>
      <c r="C223" s="101">
        <v>4430</v>
      </c>
      <c r="D223" s="97" t="s">
        <v>108</v>
      </c>
      <c r="E223" s="148">
        <f>E224+E225+E226+E227+E228+E229+E230+E231+E232+E233+E234+E235+E236+E237</f>
        <v>985</v>
      </c>
    </row>
    <row r="224" spans="1:5" s="173" customFormat="1" ht="15" customHeight="1">
      <c r="A224" s="171"/>
      <c r="B224" s="171"/>
      <c r="C224" s="171"/>
      <c r="D224" s="166" t="s">
        <v>212</v>
      </c>
      <c r="E224" s="155">
        <v>150</v>
      </c>
    </row>
    <row r="225" spans="1:5" s="94" customFormat="1" ht="15" customHeight="1">
      <c r="A225" s="171"/>
      <c r="B225" s="171"/>
      <c r="C225" s="171"/>
      <c r="D225" s="166" t="s">
        <v>213</v>
      </c>
      <c r="E225" s="155">
        <v>70</v>
      </c>
    </row>
    <row r="226" spans="1:5" s="94" customFormat="1" ht="15" customHeight="1">
      <c r="A226" s="171"/>
      <c r="B226" s="171"/>
      <c r="C226" s="171"/>
      <c r="D226" s="166" t="s">
        <v>214</v>
      </c>
      <c r="E226" s="155">
        <v>70</v>
      </c>
    </row>
    <row r="227" spans="1:5" s="94" customFormat="1" ht="15" customHeight="1">
      <c r="A227" s="171"/>
      <c r="B227" s="171"/>
      <c r="C227" s="171"/>
      <c r="D227" s="166" t="s">
        <v>215</v>
      </c>
      <c r="E227" s="155">
        <v>60</v>
      </c>
    </row>
    <row r="228" spans="1:5" s="94" customFormat="1" ht="15" customHeight="1">
      <c r="A228" s="171"/>
      <c r="B228" s="171"/>
      <c r="C228" s="171"/>
      <c r="D228" s="166" t="s">
        <v>216</v>
      </c>
      <c r="E228" s="155">
        <v>80</v>
      </c>
    </row>
    <row r="229" spans="1:5" s="94" customFormat="1" ht="15" customHeight="1">
      <c r="A229" s="171"/>
      <c r="B229" s="171"/>
      <c r="C229" s="171"/>
      <c r="D229" s="166" t="s">
        <v>203</v>
      </c>
      <c r="E229" s="155">
        <v>100</v>
      </c>
    </row>
    <row r="230" spans="1:5" s="94" customFormat="1" ht="15" customHeight="1">
      <c r="A230" s="171"/>
      <c r="B230" s="171"/>
      <c r="C230" s="171"/>
      <c r="D230" s="166" t="s">
        <v>204</v>
      </c>
      <c r="E230" s="155">
        <v>60</v>
      </c>
    </row>
    <row r="231" spans="1:5" s="94" customFormat="1" ht="15" customHeight="1">
      <c r="A231" s="171"/>
      <c r="B231" s="171"/>
      <c r="C231" s="171"/>
      <c r="D231" s="166" t="s">
        <v>217</v>
      </c>
      <c r="E231" s="155">
        <v>20</v>
      </c>
    </row>
    <row r="232" spans="1:5" s="94" customFormat="1" ht="15" customHeight="1">
      <c r="A232" s="171"/>
      <c r="B232" s="171"/>
      <c r="C232" s="171"/>
      <c r="D232" s="166" t="s">
        <v>205</v>
      </c>
      <c r="E232" s="155">
        <v>40</v>
      </c>
    </row>
    <row r="233" spans="1:5" s="94" customFormat="1" ht="15" customHeight="1">
      <c r="A233" s="171"/>
      <c r="B233" s="171"/>
      <c r="C233" s="171"/>
      <c r="D233" s="166" t="s">
        <v>208</v>
      </c>
      <c r="E233" s="155">
        <v>120</v>
      </c>
    </row>
    <row r="234" spans="1:5" s="94" customFormat="1" ht="15" customHeight="1">
      <c r="A234" s="171"/>
      <c r="B234" s="171"/>
      <c r="C234" s="171"/>
      <c r="D234" s="166" t="s">
        <v>220</v>
      </c>
      <c r="E234" s="155">
        <v>40</v>
      </c>
    </row>
    <row r="235" spans="1:5" s="94" customFormat="1" ht="15" customHeight="1">
      <c r="A235" s="171"/>
      <c r="B235" s="171"/>
      <c r="C235" s="171"/>
      <c r="D235" s="166" t="s">
        <v>209</v>
      </c>
      <c r="E235" s="155">
        <v>80</v>
      </c>
    </row>
    <row r="236" spans="1:5" s="94" customFormat="1" ht="15" customHeight="1">
      <c r="A236" s="171"/>
      <c r="B236" s="171"/>
      <c r="C236" s="171"/>
      <c r="D236" s="166" t="s">
        <v>210</v>
      </c>
      <c r="E236" s="155">
        <v>20</v>
      </c>
    </row>
    <row r="237" spans="1:5" s="94" customFormat="1" ht="15" customHeight="1">
      <c r="A237" s="171"/>
      <c r="B237" s="171"/>
      <c r="C237" s="171"/>
      <c r="D237" s="166" t="s">
        <v>223</v>
      </c>
      <c r="E237" s="155">
        <v>75</v>
      </c>
    </row>
    <row r="238" spans="1:5" s="75" customFormat="1" ht="21.75" customHeight="1">
      <c r="A238" s="60" t="s">
        <v>164</v>
      </c>
      <c r="B238" s="6"/>
      <c r="C238" s="6"/>
      <c r="D238" s="36" t="s">
        <v>79</v>
      </c>
      <c r="E238" s="29">
        <v>21390</v>
      </c>
    </row>
    <row r="239" spans="1:5" s="94" customFormat="1" ht="21.75" customHeight="1">
      <c r="A239" s="101"/>
      <c r="B239" s="102">
        <v>92605</v>
      </c>
      <c r="C239" s="101"/>
      <c r="D239" s="80" t="s">
        <v>80</v>
      </c>
      <c r="E239" s="148">
        <f>E240+E253+E256</f>
        <v>21390</v>
      </c>
    </row>
    <row r="240" spans="1:5" s="94" customFormat="1" ht="21.75" customHeight="1">
      <c r="A240" s="101"/>
      <c r="B240" s="170"/>
      <c r="C240" s="170" t="s">
        <v>221</v>
      </c>
      <c r="D240" s="80" t="s">
        <v>106</v>
      </c>
      <c r="E240" s="148">
        <f>E241+E242+E243+E244+E245+E246+E247+E248+E249+E250+E251+E252</f>
        <v>17890</v>
      </c>
    </row>
    <row r="241" spans="1:5" s="94" customFormat="1" ht="15" customHeight="1">
      <c r="A241" s="101"/>
      <c r="B241" s="170"/>
      <c r="C241" s="170"/>
      <c r="D241" s="166" t="s">
        <v>213</v>
      </c>
      <c r="E241" s="155">
        <v>1000</v>
      </c>
    </row>
    <row r="242" spans="1:5" s="94" customFormat="1" ht="15" customHeight="1">
      <c r="A242" s="171"/>
      <c r="B242" s="171"/>
      <c r="C242" s="171"/>
      <c r="D242" s="166" t="s">
        <v>217</v>
      </c>
      <c r="E242" s="155">
        <v>400</v>
      </c>
    </row>
    <row r="243" spans="1:5" s="94" customFormat="1" ht="15" customHeight="1">
      <c r="A243" s="171"/>
      <c r="B243" s="171"/>
      <c r="C243" s="171"/>
      <c r="D243" s="166" t="s">
        <v>215</v>
      </c>
      <c r="E243" s="155">
        <v>1000</v>
      </c>
    </row>
    <row r="244" spans="1:5" s="94" customFormat="1" ht="15" customHeight="1">
      <c r="A244" s="171"/>
      <c r="B244" s="171"/>
      <c r="C244" s="171"/>
      <c r="D244" s="166" t="s">
        <v>203</v>
      </c>
      <c r="E244" s="155">
        <v>500</v>
      </c>
    </row>
    <row r="245" spans="1:5" s="94" customFormat="1" ht="15" customHeight="1">
      <c r="A245" s="171"/>
      <c r="B245" s="171"/>
      <c r="C245" s="171"/>
      <c r="D245" s="166" t="s">
        <v>204</v>
      </c>
      <c r="E245" s="155">
        <v>700</v>
      </c>
    </row>
    <row r="246" spans="1:5" s="94" customFormat="1" ht="15" customHeight="1">
      <c r="A246" s="171"/>
      <c r="B246" s="171"/>
      <c r="C246" s="171"/>
      <c r="D246" s="166" t="s">
        <v>205</v>
      </c>
      <c r="E246" s="155">
        <v>950</v>
      </c>
    </row>
    <row r="247" spans="1:5" s="94" customFormat="1" ht="15" customHeight="1">
      <c r="A247" s="171"/>
      <c r="B247" s="171"/>
      <c r="C247" s="171"/>
      <c r="D247" s="166" t="s">
        <v>206</v>
      </c>
      <c r="E247" s="155">
        <v>3000</v>
      </c>
    </row>
    <row r="248" spans="1:5" s="169" customFormat="1" ht="15" customHeight="1">
      <c r="A248" s="171"/>
      <c r="B248" s="171"/>
      <c r="C248" s="171"/>
      <c r="D248" s="166" t="s">
        <v>208</v>
      </c>
      <c r="E248" s="155">
        <v>1000</v>
      </c>
    </row>
    <row r="249" spans="1:5" s="94" customFormat="1" ht="15" customHeight="1">
      <c r="A249" s="171"/>
      <c r="B249" s="171"/>
      <c r="C249" s="171"/>
      <c r="D249" s="166" t="s">
        <v>220</v>
      </c>
      <c r="E249" s="155">
        <v>380</v>
      </c>
    </row>
    <row r="250" spans="1:5" s="94" customFormat="1" ht="15" customHeight="1">
      <c r="A250" s="171"/>
      <c r="B250" s="171"/>
      <c r="C250" s="171"/>
      <c r="D250" s="166" t="s">
        <v>219</v>
      </c>
      <c r="E250" s="155">
        <v>8160</v>
      </c>
    </row>
    <row r="251" spans="1:5" s="94" customFormat="1" ht="15" customHeight="1">
      <c r="A251" s="171"/>
      <c r="B251" s="171"/>
      <c r="C251" s="171"/>
      <c r="D251" s="166" t="s">
        <v>210</v>
      </c>
      <c r="E251" s="155">
        <v>600</v>
      </c>
    </row>
    <row r="252" spans="1:5" s="94" customFormat="1" ht="15" customHeight="1">
      <c r="A252" s="171"/>
      <c r="B252" s="171"/>
      <c r="C252" s="171"/>
      <c r="D252" s="166" t="s">
        <v>211</v>
      </c>
      <c r="E252" s="155">
        <v>200</v>
      </c>
    </row>
    <row r="253" spans="1:5" s="94" customFormat="1" ht="21.75" customHeight="1">
      <c r="A253" s="170"/>
      <c r="B253" s="170"/>
      <c r="C253" s="170" t="s">
        <v>226</v>
      </c>
      <c r="D253" s="80" t="s">
        <v>109</v>
      </c>
      <c r="E253" s="148">
        <f>E254+E255</f>
        <v>500</v>
      </c>
    </row>
    <row r="254" spans="1:5" s="94" customFormat="1" ht="15" customHeight="1">
      <c r="A254" s="170"/>
      <c r="B254" s="170"/>
      <c r="C254" s="170"/>
      <c r="D254" s="166" t="s">
        <v>217</v>
      </c>
      <c r="E254" s="155">
        <v>100</v>
      </c>
    </row>
    <row r="255" spans="1:5" s="94" customFormat="1" ht="15" customHeight="1">
      <c r="A255" s="171"/>
      <c r="B255" s="171"/>
      <c r="C255" s="171"/>
      <c r="D255" s="166" t="s">
        <v>208</v>
      </c>
      <c r="E255" s="155">
        <v>400</v>
      </c>
    </row>
    <row r="256" spans="1:5" s="94" customFormat="1" ht="21.75" customHeight="1">
      <c r="A256" s="101"/>
      <c r="B256" s="170"/>
      <c r="C256" s="101">
        <v>4300</v>
      </c>
      <c r="D256" s="97" t="s">
        <v>93</v>
      </c>
      <c r="E256" s="148">
        <f>E257+E258+E259</f>
        <v>3000</v>
      </c>
    </row>
    <row r="257" spans="1:5" s="94" customFormat="1" ht="15" customHeight="1">
      <c r="A257" s="171"/>
      <c r="B257" s="171"/>
      <c r="C257" s="171"/>
      <c r="D257" s="166" t="s">
        <v>212</v>
      </c>
      <c r="E257" s="155">
        <v>1200</v>
      </c>
    </row>
    <row r="258" spans="1:5" s="94" customFormat="1" ht="15" customHeight="1">
      <c r="A258" s="171"/>
      <c r="B258" s="171"/>
      <c r="C258" s="171"/>
      <c r="D258" s="166" t="s">
        <v>214</v>
      </c>
      <c r="E258" s="155">
        <v>800</v>
      </c>
    </row>
    <row r="259" spans="1:5" s="94" customFormat="1" ht="15" customHeight="1">
      <c r="A259" s="171"/>
      <c r="B259" s="171"/>
      <c r="C259" s="171"/>
      <c r="D259" s="166" t="s">
        <v>216</v>
      </c>
      <c r="E259" s="155">
        <v>1000</v>
      </c>
    </row>
    <row r="260" spans="1:5" s="75" customFormat="1" ht="21.75" customHeight="1">
      <c r="A260" s="56"/>
      <c r="B260" s="56"/>
      <c r="C260" s="56"/>
      <c r="D260" s="291" t="s">
        <v>81</v>
      </c>
      <c r="E260" s="29">
        <f>E8+E34+E38+E43+E111+E117+E134+E143+E189+E238</f>
        <v>316940</v>
      </c>
    </row>
    <row r="261" spans="1:5" s="94" customFormat="1" ht="15" customHeight="1">
      <c r="A261" s="92"/>
      <c r="B261" s="92"/>
      <c r="C261" s="92"/>
      <c r="D261" s="93"/>
      <c r="E261" s="95"/>
    </row>
    <row r="262" spans="1:5" s="94" customFormat="1" ht="15" customHeight="1">
      <c r="A262" s="270"/>
      <c r="B262" s="270"/>
      <c r="C262" s="270"/>
      <c r="D262" s="271"/>
      <c r="E262" s="272"/>
    </row>
    <row r="263" spans="1:5" s="94" customFormat="1" ht="11.25">
      <c r="A263" s="270"/>
      <c r="B263" s="270"/>
      <c r="C263" s="270"/>
      <c r="D263" s="271"/>
      <c r="E263" s="272"/>
    </row>
    <row r="264" spans="1:5" s="94" customFormat="1" ht="12.75" customHeight="1">
      <c r="A264" s="270"/>
      <c r="B264" s="270"/>
      <c r="C264" s="270"/>
      <c r="D264" s="271"/>
      <c r="E264" s="272"/>
    </row>
    <row r="265" spans="1:5" s="94" customFormat="1" ht="15.75" customHeight="1">
      <c r="A265" s="266"/>
      <c r="B265" s="266"/>
      <c r="C265" s="266"/>
      <c r="D265" s="268"/>
      <c r="E265" s="269"/>
    </row>
    <row r="266" spans="1:5" s="94" customFormat="1" ht="12.75" customHeight="1">
      <c r="A266" s="270"/>
      <c r="B266" s="270"/>
      <c r="C266" s="270"/>
      <c r="D266" s="271"/>
      <c r="E266" s="272"/>
    </row>
    <row r="267" spans="1:5" s="94" customFormat="1" ht="15" customHeight="1">
      <c r="A267" s="267"/>
      <c r="B267" s="266"/>
      <c r="C267" s="267"/>
      <c r="D267" s="273"/>
      <c r="E267" s="269"/>
    </row>
    <row r="268" spans="1:5" s="94" customFormat="1" ht="13.5" customHeight="1">
      <c r="A268" s="270"/>
      <c r="B268" s="270"/>
      <c r="C268" s="270"/>
      <c r="D268" s="271"/>
      <c r="E268" s="272"/>
    </row>
    <row r="269" spans="1:5" s="94" customFormat="1" ht="15" customHeight="1">
      <c r="A269" s="270"/>
      <c r="B269" s="270"/>
      <c r="C269" s="270"/>
      <c r="D269" s="271"/>
      <c r="E269" s="272"/>
    </row>
    <row r="270" spans="1:5" s="94" customFormat="1" ht="15" customHeight="1">
      <c r="A270" s="270"/>
      <c r="B270" s="270"/>
      <c r="C270" s="270"/>
      <c r="D270" s="271"/>
      <c r="E270" s="272"/>
    </row>
    <row r="271" spans="1:5" s="94" customFormat="1" ht="15" customHeight="1">
      <c r="A271" s="270"/>
      <c r="B271" s="270"/>
      <c r="C271" s="270"/>
      <c r="D271" s="271"/>
      <c r="E271" s="272"/>
    </row>
    <row r="272" spans="1:5" s="94" customFormat="1" ht="16.5" customHeight="1">
      <c r="A272" s="267"/>
      <c r="B272" s="267"/>
      <c r="C272" s="267"/>
      <c r="D272" s="198"/>
      <c r="E272" s="265"/>
    </row>
    <row r="273" spans="1:5" ht="12.75">
      <c r="A273" s="263"/>
      <c r="B273" s="263"/>
      <c r="C273" s="263"/>
      <c r="D273" s="264"/>
      <c r="E273" s="274"/>
    </row>
  </sheetData>
  <printOptions horizontalCentered="1"/>
  <pageMargins left="0.984251968503937" right="0.7874015748031497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&amp;C&amp;8Jednostki pomocnicze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Runge</cp:lastModifiedBy>
  <cp:lastPrinted>2005-12-01T09:45:59Z</cp:lastPrinted>
  <dcterms:created xsi:type="dcterms:W3CDTF">2002-10-21T08:56:44Z</dcterms:created>
  <dcterms:modified xsi:type="dcterms:W3CDTF">2005-11-15T15:03:29Z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