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5" firstSheet="6" activeTab="9"/>
  </bookViews>
  <sheets>
    <sheet name="dochody 2005 zał.1" sheetId="1" r:id="rId1"/>
    <sheet name="wydatki 2005 zał.2" sheetId="2" r:id="rId2"/>
    <sheet name="dot. otrzym.2005 zał.3" sheetId="3" r:id="rId3"/>
    <sheet name="dot.przek.2005 zał. " sheetId="4" r:id="rId4"/>
    <sheet name="admin.zał 4" sheetId="5" r:id="rId5"/>
    <sheet name="poroz. zał 5" sheetId="6" r:id="rId6"/>
    <sheet name="maj.zał 6" sheetId="7" r:id="rId7"/>
    <sheet name="GFOŚiGW zał 7" sheetId="8" r:id="rId8"/>
    <sheet name="sołec 8" sheetId="9" r:id="rId9"/>
    <sheet name="AA 9" sheetId="10" r:id="rId10"/>
    <sheet name="niedobór 10" sheetId="11" r:id="rId11"/>
    <sheet name="zakł.bud. 11 " sheetId="12" r:id="rId12"/>
    <sheet name="dochody wł. jedn. 12" sheetId="13" r:id="rId13"/>
    <sheet name="WPI 13" sheetId="14" r:id="rId14"/>
    <sheet name="ZPORR 15" sheetId="15" r:id="rId15"/>
    <sheet name="doch.admin 14" sheetId="16" r:id="rId16"/>
  </sheets>
  <definedNames>
    <definedName name="_xlnm.Print_Area" localSheetId="9">'AA 9'!$A:$IV</definedName>
    <definedName name="_xlnm.Print_Titles" localSheetId="9">'AA 9'!$8:$8</definedName>
    <definedName name="_xlnm.Print_Titles" localSheetId="4">'admin.zał 4'!$8:$8</definedName>
    <definedName name="_xlnm.Print_Titles" localSheetId="0">'dochody 2005 zał.1'!$8:$8</definedName>
    <definedName name="_xlnm.Print_Titles" localSheetId="2">'dot. otrzym.2005 zał.3'!$8:$8</definedName>
    <definedName name="_xlnm.Print_Titles" localSheetId="3">'dot.przek.2005 zał. '!$4:$4</definedName>
    <definedName name="_xlnm.Print_Titles" localSheetId="6">'maj.zał 6'!$7:$7</definedName>
    <definedName name="_xlnm.Print_Titles" localSheetId="5">'poroz. zał 5'!$8:$8</definedName>
    <definedName name="_xlnm.Print_Titles" localSheetId="8">'sołec 8'!$7:$7</definedName>
    <definedName name="_xlnm.Print_Titles" localSheetId="1">'wydatki 2005 zał.2'!$8:$8</definedName>
  </definedNames>
  <calcPr fullCalcOnLoad="1"/>
</workbook>
</file>

<file path=xl/comments10.xml><?xml version="1.0" encoding="utf-8"?>
<comments xmlns="http://schemas.openxmlformats.org/spreadsheetml/2006/main">
  <authors>
    <author>UM w Trzciance</author>
  </authors>
  <commentList>
    <comment ref="H46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10.000 narkomania
</t>
        </r>
      </text>
    </comment>
    <comment ref="H36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17846 narkomania
</t>
        </r>
      </text>
    </comment>
  </commentList>
</comments>
</file>

<file path=xl/comments2.xml><?xml version="1.0" encoding="utf-8"?>
<comments xmlns="http://schemas.openxmlformats.org/spreadsheetml/2006/main">
  <authors>
    <author>fk3</author>
    <author>UM w Trzciance</author>
  </authors>
  <commentList>
    <comment ref="E61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1400</t>
        </r>
      </text>
    </comment>
    <comment ref="E65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8630</t>
        </r>
      </text>
    </comment>
    <comment ref="E74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1600</t>
        </r>
      </text>
    </comment>
    <comment ref="E75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21150</t>
        </r>
      </text>
    </comment>
    <comment ref="E76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3700</t>
        </r>
      </text>
    </comment>
    <comment ref="E91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5000</t>
        </r>
      </text>
    </comment>
    <comment ref="E203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składka do Hospicjum</t>
        </r>
      </text>
    </comment>
    <comment ref="E235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MGOPiS 38000, Swiadczenia 36700</t>
        </r>
      </text>
    </comment>
    <comment ref="E238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500000własne, 3000 AA</t>
        </r>
      </text>
    </comment>
    <comment ref="E296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4700</t>
        </r>
      </text>
    </comment>
    <comment ref="E309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1000</t>
        </r>
      </text>
    </comment>
    <comment ref="E145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4000</t>
        </r>
      </text>
    </comment>
    <comment ref="E177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500</t>
        </r>
      </text>
    </comment>
    <comment ref="E157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1500</t>
        </r>
      </text>
    </comment>
    <comment ref="E326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AA 10000</t>
        </r>
      </text>
    </comment>
    <comment ref="E14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22030</t>
        </r>
      </text>
    </comment>
    <comment ref="E16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43480</t>
        </r>
      </text>
    </comment>
    <comment ref="E17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69000</t>
        </r>
      </text>
    </comment>
    <comment ref="E28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300</t>
        </r>
      </text>
    </comment>
    <comment ref="E318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starostwo 45000</t>
        </r>
      </text>
    </comment>
    <comment ref="F16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PT drogi  Straduń - Smolarnia
</t>
        </r>
      </text>
    </comment>
    <comment ref="F18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50.000 rezerwa budowa chodnika i ścieżki pieszo rowerowej we Siedlisku
współpraca z ZDW
</t>
        </r>
      </text>
    </comment>
    <comment ref="F194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1.000 programy
</t>
        </r>
      </text>
    </comment>
    <comment ref="F286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16.000 PT wodociągu Stobno
</t>
        </r>
      </text>
    </comment>
    <comment ref="G287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35.000 budowa wodociągu w Osińcu
</t>
        </r>
      </text>
    </comment>
    <comment ref="F304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14.000 bud.oświetlenia Dłużewo
3.000 bud.oświetlenia ul. Ogrodowa, Łomnicka,Łąkowa
</t>
        </r>
      </text>
    </comment>
    <comment ref="F303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2.000 ustawienie lampy we Wrzącej
</t>
        </r>
      </text>
    </comment>
  </commentList>
</comments>
</file>

<file path=xl/sharedStrings.xml><?xml version="1.0" encoding="utf-8"?>
<sst xmlns="http://schemas.openxmlformats.org/spreadsheetml/2006/main" count="1432" uniqueCount="480">
  <si>
    <t>dział</t>
  </si>
  <si>
    <t>rozdział</t>
  </si>
  <si>
    <t>§</t>
  </si>
  <si>
    <t>nazwa</t>
  </si>
  <si>
    <t>010</t>
  </si>
  <si>
    <t>Rolnictwo i łowiectwo</t>
  </si>
  <si>
    <t>pozostała działalność</t>
  </si>
  <si>
    <t>wpływy z innych lokalnych opłat pobieranych przez jednostki samorządu terytorialnego na podstawie odrębnych ustaw</t>
  </si>
  <si>
    <t>020</t>
  </si>
  <si>
    <t>Leśnictwo</t>
  </si>
  <si>
    <t>02095</t>
  </si>
  <si>
    <t>700</t>
  </si>
  <si>
    <t>Gospodarka mieszkaniowa</t>
  </si>
  <si>
    <t>70005</t>
  </si>
  <si>
    <t>pozostałe odsetki</t>
  </si>
  <si>
    <t>wpływy z różnych dochodów</t>
  </si>
  <si>
    <t>710</t>
  </si>
  <si>
    <t>cmentarze</t>
  </si>
  <si>
    <t>750</t>
  </si>
  <si>
    <t xml:space="preserve">Administracja publiczna </t>
  </si>
  <si>
    <t>urzędy wojewódzkie</t>
  </si>
  <si>
    <t>75023</t>
  </si>
  <si>
    <t>urzędy gmin (miast i miast na prawach powiatu)</t>
  </si>
  <si>
    <t xml:space="preserve">Urzędy naczelnych organów władzy państwowej, kontroli i ochrony prawa oraz sądownictwa </t>
  </si>
  <si>
    <t>urzędy naczelnych organów władzy państwowej, kontroli i ochrony prawa</t>
  </si>
  <si>
    <t>754</t>
  </si>
  <si>
    <t>Bezpieczeństwo publiczne i ochrona przeciwpożarowa</t>
  </si>
  <si>
    <t>75414</t>
  </si>
  <si>
    <t>obrona cywilna</t>
  </si>
  <si>
    <t>75416</t>
  </si>
  <si>
    <t>straż miejska</t>
  </si>
  <si>
    <t xml:space="preserve">grzywny, mandaty i inne kary pieniężne od ludności </t>
  </si>
  <si>
    <t>756</t>
  </si>
  <si>
    <t>Dochody od osób prawnych, od osób fizycznych i od innych jednostek nie posiadających osobowości prawnej</t>
  </si>
  <si>
    <t xml:space="preserve">wpływy z podatku dochodowego od osób fizycznych </t>
  </si>
  <si>
    <t>podatek od działalności gospodarczej osób fizycznych, opłacany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</si>
  <si>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</si>
  <si>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</si>
  <si>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</si>
  <si>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</si>
  <si>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</si>
  <si>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wpływy z opłaty eksploatacyjnej</t>
  </si>
  <si>
    <t>odsetki z tytułu nieterminowych wpłat z tytułu podatków i opłat</t>
  </si>
  <si>
    <t>podatek od spadków i darowizn</t>
  </si>
  <si>
    <t>podatek od posiadania psów</t>
  </si>
  <si>
    <t>wpływy z opłaty targowej</t>
  </si>
  <si>
    <t>wpływy z opłaty miejscowej</t>
  </si>
  <si>
    <t>wpływy z opłaty administracyjnej za czynności urzędowe</t>
  </si>
  <si>
    <t>podatek od czynności cywilnoprawnych</t>
  </si>
  <si>
    <t>75618</t>
  </si>
  <si>
    <t>wpływy z innych opłat stanowiących dochody jednostek samorządu terytorialnego na podstawie ustaw</t>
  </si>
  <si>
    <t>wpływy z opłaty skarbowej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</si>
  <si>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</si>
  <si>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</si>
  <si>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</si>
  <si>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</si>
  <si>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</si>
  <si>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</si>
  <si>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</si>
  <si>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</si>
  <si>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subwencje ogólne z budżetu państwa</t>
  </si>
  <si>
    <t>różne rozliczenia finansowe</t>
  </si>
  <si>
    <t>szkoły podstawowe</t>
  </si>
  <si>
    <t>gimnazja</t>
  </si>
  <si>
    <t>Ochrona zdrowia</t>
  </si>
  <si>
    <t>przeciwdziałanie alkoholizmowi</t>
  </si>
  <si>
    <t>wpływy z opłat za zezwolenia na sprzedaż alkoholu</t>
  </si>
  <si>
    <t>dochody z najmu i dzierżawy składników majątkowych Skarbu Państwa, jednostek samorządu terytorialnego lub  innych jednostek zaliczanych do sektora finansów publicznych oraz innych umów o podobnym charakterze</t>
  </si>
  <si>
    <t xml:space="preserve">zasiłki i pomoc w naturze oraz składki na ubezpieczenia społeczne </t>
  </si>
  <si>
    <t>dodatki mieszkaniowe</t>
  </si>
  <si>
    <t>ośrodki pomocy społecznej</t>
  </si>
  <si>
    <t>Edukacyjna opieka wychowawcza</t>
  </si>
  <si>
    <t>świetlice szkolne</t>
  </si>
  <si>
    <t>Gospodarka komunalna i ochrona środowiska</t>
  </si>
  <si>
    <t>gospodarka ściekowa i ochrona wód</t>
  </si>
  <si>
    <t>dywidendy i kwoty ze zbycia praw majątkowych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</si>
  <si>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</si>
  <si>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</si>
  <si>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</si>
  <si>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</si>
  <si>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</si>
  <si>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</si>
  <si>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 xml:space="preserve">Kultura i ochrona dziedzictwa narodowego </t>
  </si>
  <si>
    <t>01030</t>
  </si>
  <si>
    <t>izby rolnicze</t>
  </si>
  <si>
    <t>wpłaty gmin na rzecz izb rolniczych w wysokości 2% uzyskanych wpływów z podatku rolnego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</si>
  <si>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</si>
  <si>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</si>
  <si>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</si>
  <si>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</si>
  <si>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</si>
  <si>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</si>
  <si>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</si>
  <si>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</si>
  <si>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</si>
  <si>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71004</t>
  </si>
  <si>
    <t>plany zagospodarowania przestrzennego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</si>
  <si>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</si>
  <si>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</si>
  <si>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</si>
  <si>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</si>
  <si>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</si>
  <si>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</si>
  <si>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różne wydatki na rzecz osób fizycznych</t>
  </si>
  <si>
    <t>podróże służbowe krajowe</t>
  </si>
  <si>
    <t>75022</t>
  </si>
  <si>
    <t xml:space="preserve">zakup materiałów i wyposażenia </t>
  </si>
  <si>
    <t>podróże służbowe zagraniczne</t>
  </si>
  <si>
    <t>różne opłaty i składki</t>
  </si>
  <si>
    <t>zakup energii</t>
  </si>
  <si>
    <t>wydatki na zakupy inwestycyjne jednostek budżetowych</t>
  </si>
  <si>
    <t>wynagrodzenia agencyjno-prowizyjne</t>
  </si>
  <si>
    <t>Urzędy naczelnych organów władzy państwowej, kontroli i ochrony prawa oraz sądownictwa</t>
  </si>
  <si>
    <t>Bezpieczeństwo publiczne                                                                       i ochrona przeciwpożarowa</t>
  </si>
  <si>
    <t>75412</t>
  </si>
  <si>
    <t>ochotnicze straże pożarne</t>
  </si>
  <si>
    <t xml:space="preserve">obrona cywilna 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</si>
  <si>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</si>
  <si>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</si>
  <si>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</si>
  <si>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</si>
  <si>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</si>
  <si>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odsetki i dyskonto od krajowych skarbowych papierów wartościowych oraz pożyczek i kredytów</t>
  </si>
  <si>
    <t>75818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</si>
  <si>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</si>
  <si>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</si>
  <si>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</si>
  <si>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</si>
  <si>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</si>
  <si>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</si>
  <si>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zakup leków i materiałów medycznych</t>
  </si>
  <si>
    <t>80104</t>
  </si>
  <si>
    <t>odpisy na zakłdowy fundusz świadczeń socjalnych</t>
  </si>
  <si>
    <t xml:space="preserve">80110 </t>
  </si>
  <si>
    <t>80113</t>
  </si>
  <si>
    <t>dowożenie uczniów do szkół</t>
  </si>
  <si>
    <t>851</t>
  </si>
  <si>
    <t>85154</t>
  </si>
  <si>
    <t>składki na ubezpieczenia zdrowotne</t>
  </si>
  <si>
    <t>usługi opiekuńcze i specjalistyczne usługi opiekuńcze</t>
  </si>
  <si>
    <t>854</t>
  </si>
  <si>
    <t>zakup pomocy naukowych, dydaktycznych i książek</t>
  </si>
  <si>
    <t xml:space="preserve">przedszkola </t>
  </si>
  <si>
    <t xml:space="preserve">dotacja podmiotowa z budżetu dla zakładu budżetowego </t>
  </si>
  <si>
    <t>85412</t>
  </si>
  <si>
    <t>kolonie i obozy  oraz inne formy wypoczynku dzieci i młodzieży szkolnej</t>
  </si>
  <si>
    <t>900</t>
  </si>
  <si>
    <t>90001</t>
  </si>
  <si>
    <t>90003</t>
  </si>
  <si>
    <t>oczyszczanie miast i wsi</t>
  </si>
  <si>
    <t>90004</t>
  </si>
  <si>
    <t>90005</t>
  </si>
  <si>
    <t>ochrona powietrza atmosferycznego i klimatu</t>
  </si>
  <si>
    <t>opłaty na rzecz budżetów jednostek samorządu terytorialnego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</si>
  <si>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</si>
  <si>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</si>
  <si>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</si>
  <si>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</si>
  <si>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</si>
  <si>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</si>
  <si>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</si>
  <si>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dotacja podmiotowa z budżetu dla instytucji kultury</t>
  </si>
  <si>
    <t>92118</t>
  </si>
  <si>
    <t>muzea</t>
  </si>
  <si>
    <t>926</t>
  </si>
  <si>
    <t>plan</t>
  </si>
  <si>
    <t xml:space="preserve">Bezpieczeństwo publiczne i ochrona przeciwpożarowa </t>
  </si>
  <si>
    <t>Kultura i ochrona dziedzictwa narodowego - porozumienie</t>
  </si>
  <si>
    <t xml:space="preserve">plan </t>
  </si>
  <si>
    <t>przychody</t>
  </si>
  <si>
    <t>rozchody</t>
  </si>
  <si>
    <t>saldo</t>
  </si>
  <si>
    <t>spłaty otrzymanych krajowych pożyczek i kredytów</t>
  </si>
  <si>
    <t>Gminne Przedszkola Publiczne</t>
  </si>
  <si>
    <t>Starostwo Powiatowe - utrzymanie hali sportowo-widowiskowej przy L.O. w Trzciance</t>
  </si>
  <si>
    <t>Trzcianecki Dom Kultury</t>
  </si>
  <si>
    <t>Biblioteka Publiczna Miasta i Gminy im. Kazimiery Iłłakowiczówny</t>
  </si>
  <si>
    <t>Muzeum Ziemi Nadnoteckiej im. Wiktora Stachowiaka</t>
  </si>
  <si>
    <t xml:space="preserve">Bezpieczeństwo publiczne                                                i ochrona przeciwpożarowa </t>
  </si>
  <si>
    <t>wykup gruntów</t>
  </si>
  <si>
    <t>zakup sprzętu komputerowego i oprogramowania</t>
  </si>
  <si>
    <t>Fundusz Ochrony Środowiska i Gospodarki Wodnej</t>
  </si>
  <si>
    <t>fundusz obrotowy na początek roku</t>
  </si>
  <si>
    <t>wpływy z różnych opłat</t>
  </si>
  <si>
    <t>zakup worków na nieczystości</t>
  </si>
  <si>
    <t>wywóz pojemników na szkło i plastiki</t>
  </si>
  <si>
    <t>popularyzacja wiedzy o środowisku</t>
  </si>
  <si>
    <t>wywóz kontenerów na wsiach</t>
  </si>
  <si>
    <t>lp.</t>
  </si>
  <si>
    <t>Załącznik Nr 4</t>
  </si>
  <si>
    <t xml:space="preserve">wpływy z innych opłat stanowiacych dochody jednostek samorządu terytorialnego na podstawie ustaw </t>
  </si>
  <si>
    <t>opłaty na rzecz budżetu państwa</t>
  </si>
  <si>
    <t>Rady Miejskiej Trzcianki</t>
  </si>
  <si>
    <t>przychody z zaciagniętych pożyczek i kredytów na rynku krajowym</t>
  </si>
  <si>
    <t>dochody budżetu państwa związane z realizacją zadań zlecanych jednostkom samorządu terytorialnego</t>
  </si>
  <si>
    <t>Załącznik Nr 13</t>
  </si>
  <si>
    <t>dokształcanie i doskonalenie nauczycieli</t>
  </si>
  <si>
    <t>gospodarka gruntami i nieruchomościami</t>
  </si>
  <si>
    <t>rady gmin (miast i miast na prawach powiatu)</t>
  </si>
  <si>
    <t>dotacje celowe przekazane dla powiatu na zadania bieżące realizowane na podstawie porozumień (umów) między jednostkami samorządu terytorialnego</t>
  </si>
  <si>
    <t>domy i ośrodki kultury, świetlice i kluby</t>
  </si>
  <si>
    <t>utrzymanie zieleni w miastach i gminach</t>
  </si>
  <si>
    <t>dotacje celowe przekazane dla powiatu na zadania bieżące realizowane na podstawie porozumień między jednostkami samorządu terytorialnego</t>
  </si>
  <si>
    <t>Sołectwo Pokrzywno</t>
  </si>
  <si>
    <t>Sołectwo Przyłęki</t>
  </si>
  <si>
    <t>Sołectwo Runowo</t>
  </si>
  <si>
    <t>Sołectwo Rychlik</t>
  </si>
  <si>
    <t>Sołectwo Sarcz</t>
  </si>
  <si>
    <t>Sołectwo Siedlisko</t>
  </si>
  <si>
    <t>Sołectwo Straduń</t>
  </si>
  <si>
    <t>Sołectwo Wapniarnia I</t>
  </si>
  <si>
    <t>Sołectwo Wapniarnia III</t>
  </si>
  <si>
    <t>Sołectwo Biała</t>
  </si>
  <si>
    <t>Sołectwo Biernatowo</t>
  </si>
  <si>
    <t>Sołectwo Łomnica</t>
  </si>
  <si>
    <t>Sołectwo Niekursko</t>
  </si>
  <si>
    <t>Sołectwo Nowa Wieś</t>
  </si>
  <si>
    <t>Sołectwo Radolin</t>
  </si>
  <si>
    <t>Sołectwo Smolarnia</t>
  </si>
  <si>
    <t>Sołectwo Teresin</t>
  </si>
  <si>
    <t>Sołectwo Stobno</t>
  </si>
  <si>
    <t>4210</t>
  </si>
  <si>
    <t>Sołectwo Górnica</t>
  </si>
  <si>
    <t>Sołectwo Wrząca</t>
  </si>
  <si>
    <t>4300</t>
  </si>
  <si>
    <t>zakup materiałów i wypozażenia</t>
  </si>
  <si>
    <t>4260</t>
  </si>
  <si>
    <t>Dochody od osób prawnych, od osób fizycznych i od innych jednostek nieposiadających osobowości prawnej oraz wydatki związane z ich poborem</t>
  </si>
  <si>
    <t xml:space="preserve">wpływy z podatku rolnego, podatku leśnego, podatku od czynności cywilnoprawnych, podatku od spadków i darowizn oraz podatków i opłat lokalnych </t>
  </si>
  <si>
    <t>852</t>
  </si>
  <si>
    <t>85214</t>
  </si>
  <si>
    <t>85219</t>
  </si>
  <si>
    <t>85295</t>
  </si>
  <si>
    <t>kolonie i obozy  oraz inne formy wypoczynku dzieci i młodzieży szkolnej, a także szkolenia młodzieży</t>
  </si>
  <si>
    <t>0490</t>
  </si>
  <si>
    <t>0470</t>
  </si>
  <si>
    <t>0750</t>
  </si>
  <si>
    <t>0920</t>
  </si>
  <si>
    <t>0970</t>
  </si>
  <si>
    <t>0570</t>
  </si>
  <si>
    <t>0350</t>
  </si>
  <si>
    <t>0910</t>
  </si>
  <si>
    <t>0310</t>
  </si>
  <si>
    <t>0320</t>
  </si>
  <si>
    <t>0330</t>
  </si>
  <si>
    <t>0340</t>
  </si>
  <si>
    <t>0360</t>
  </si>
  <si>
    <t>0370</t>
  </si>
  <si>
    <t>0430</t>
  </si>
  <si>
    <t>0440</t>
  </si>
  <si>
    <t>0450</t>
  </si>
  <si>
    <t>0460</t>
  </si>
  <si>
    <t>0500</t>
  </si>
  <si>
    <t>0410</t>
  </si>
  <si>
    <t>0010</t>
  </si>
  <si>
    <t>0020</t>
  </si>
  <si>
    <t>0740</t>
  </si>
  <si>
    <t>0480</t>
  </si>
  <si>
    <t>2010</t>
  </si>
  <si>
    <t>kolonie i obozy oraz inne formy wypoczynku dzieci i młodzieży, a także szkolenia młodzieży</t>
  </si>
  <si>
    <t>budowa chodnika w Białej</t>
  </si>
  <si>
    <t>zakup środków żywności</t>
  </si>
  <si>
    <t>pobór podatków, opłat i niepodatkowych należności budżetowych</t>
  </si>
  <si>
    <t>Towarzystwa budownictwa społecznego</t>
  </si>
  <si>
    <t>budowa dróg na os. Fałata</t>
  </si>
  <si>
    <t>fundusz obrotowy na koniec roku</t>
  </si>
  <si>
    <t>koszty postępowania sądowego i prokuratorskiego</t>
  </si>
  <si>
    <t>0690</t>
  </si>
  <si>
    <t xml:space="preserve">dotacja podmiotowa z budżetu dla niepublicznej jednostki systemu oświaty </t>
  </si>
  <si>
    <t>dotacja podmiotowa dla niepublicznej jednostki systemu oświaty</t>
  </si>
  <si>
    <t>dochody jednostek samorządu terytorialnego związane z realizacją zadań z zakresu administracji rządowej oraz innych zadań zleconych ustawami</t>
  </si>
  <si>
    <t>dotacje otrzymane z funduszy celowych na realizację zadań bieżących jednostek sektora finansów publicznych</t>
  </si>
  <si>
    <t>część wyrównawcza subwencji ogólnej dla gmin</t>
  </si>
  <si>
    <t>75807</t>
  </si>
  <si>
    <t>składki na ubezpieczenie zdrowotne opłacane za osoby pobierające niektóre świadczenia z pomocy społecznej oraz niektóre świadczenia rodzinne</t>
  </si>
  <si>
    <t xml:space="preserve">Pomoc społeczna </t>
  </si>
  <si>
    <t>Pomoc społeczna</t>
  </si>
  <si>
    <t xml:space="preserve">Przychody Gminnego Funduszu Ochrony Środowiska i Gospodarki Wodnej </t>
  </si>
  <si>
    <t xml:space="preserve">Wydatki Gminnego Funduszu Ochrony Środowiska  i Gospodarki Wodnej </t>
  </si>
  <si>
    <t>Załącznik Nr 1</t>
  </si>
  <si>
    <t>Załącznik Nr 2</t>
  </si>
  <si>
    <t>Załącznik Nr 3</t>
  </si>
  <si>
    <t>Załącznik Nr 6</t>
  </si>
  <si>
    <t>Załącznik Nr 9</t>
  </si>
  <si>
    <t>wpływy ze sprzedaży składników majątkowych</t>
  </si>
  <si>
    <t>dotacja podmiotowa z budżetu dla samorządowej instytucji kultury</t>
  </si>
  <si>
    <t>biblioteki - porozumienia</t>
  </si>
  <si>
    <t xml:space="preserve"> wydatki osobowe niezaliczone do wynagrodzeń</t>
  </si>
  <si>
    <t xml:space="preserve">wynagrodzenia bezosobowe </t>
  </si>
  <si>
    <t xml:space="preserve">wpływy z podatku rolnego, podatku leśnego, podatku od czynności cywilnoprawnych, podatków i opłat lokalnych od osób prawnych i innych jednostek organizacyjnych </t>
  </si>
  <si>
    <t xml:space="preserve">wpływy z podatku rolnego, podatku leśnego,podatku od spadków i darowizn, podatku od czynności cywilnoprawnych oraz podatków i opłat lokalnych od osób fizycznych </t>
  </si>
  <si>
    <t xml:space="preserve">Oświetlenie w Niekursku </t>
  </si>
  <si>
    <t xml:space="preserve">Oświetlenie w Nowej Wsi </t>
  </si>
  <si>
    <t xml:space="preserve"> DOTACJE NA WYDATKI BIEŻĄCE</t>
  </si>
  <si>
    <t>wynagrodzenia bezosobowe</t>
  </si>
  <si>
    <t>utrzymanie terenów zielonych nad jeziorem Sarcz, Logo, Park Grottgera</t>
  </si>
  <si>
    <t>zakup elementów do monitorowania miasta</t>
  </si>
  <si>
    <t>Przedszkole przy Prywatnej Katolickiej Szkole Podstawowej 
im. Św. Siostry Faustyny</t>
  </si>
  <si>
    <t>0830</t>
  </si>
  <si>
    <t>wpływy z usług</t>
  </si>
  <si>
    <t>wynagrodzenie bezosobowe</t>
  </si>
  <si>
    <t>budowa kanalizacji sanitarnej i deszczowej oraz rozbudowa oczyszczalni ścieków w Gminie Trzcianka</t>
  </si>
  <si>
    <t>0870</t>
  </si>
  <si>
    <t>nasadzenia drzew i krzewów</t>
  </si>
  <si>
    <t>zwiększenia</t>
  </si>
  <si>
    <t>zmniejszenia</t>
  </si>
  <si>
    <t>instytucje kultury fizycznej</t>
  </si>
  <si>
    <t>wynagordzenia bezosobowe</t>
  </si>
  <si>
    <t xml:space="preserve">zmniejszenia </t>
  </si>
  <si>
    <t>zmiany</t>
  </si>
  <si>
    <t>wykup innych papierów wartościowych</t>
  </si>
  <si>
    <t>zakup usług zdrowotnych</t>
  </si>
  <si>
    <t xml:space="preserve">zwiększenia </t>
  </si>
  <si>
    <t>budowa budynku mieszkalnego przy 
ul. Chopina w Trzciance</t>
  </si>
  <si>
    <t>plan po
zmianach</t>
  </si>
  <si>
    <t>plan po 
zmianach</t>
  </si>
  <si>
    <t>budowa chodnika w Siedlisku</t>
  </si>
  <si>
    <t xml:space="preserve"> Katolicka Szkoła Podstawowa im. Św. Siosty Faustyny</t>
  </si>
  <si>
    <t>kary i odszkodowania wypłacane na rzecz osób fizycznych</t>
  </si>
  <si>
    <t>różne jednostki obsługi gospodarki mieszkaniowej</t>
  </si>
  <si>
    <t>świadczenia rodzinne oraz składki na ubezpieczenia emerytalne i rentowe z ubezpieczenia społecznego</t>
  </si>
  <si>
    <t>plan po zmianach</t>
  </si>
  <si>
    <t>Załącznik Nr 10 do uchwały nr XXXIII/233/05</t>
  </si>
  <si>
    <t>Rady Miejskiej trzcianki z dnia 10.02.2005 r.</t>
  </si>
  <si>
    <t>odsetki od nieterminowych wpłat 
z tytułu podatków i opłat</t>
  </si>
  <si>
    <t>składki na ubezpieczenie zdrowotne opłacane za osoby pobierające niektóre świadczenia 
z pomocy społecznej oraz niektóre świadczenia rodzinne</t>
  </si>
  <si>
    <t>dotacje celowe otrzymane 
z budżetu państwa na realizację własnych zadań bieżących gmin (związków gmin)</t>
  </si>
  <si>
    <t>muzea - porozumienia</t>
  </si>
  <si>
    <t>domy i ośrodki kultury, świetlice i kluby - porozumienia</t>
  </si>
  <si>
    <t xml:space="preserve">pozostała działalność </t>
  </si>
  <si>
    <t>Rady Miejskiej Trzcianki z dnia 28.04.2005 r. zmieniający</t>
  </si>
  <si>
    <t>Załącznik Nr 6 do Uchwały Nr XXXVII/255/05</t>
  </si>
  <si>
    <t>oddziały przedszkolne w szkołach podstawowych</t>
  </si>
  <si>
    <t>promocja jednostek samorządu terytorialnego</t>
  </si>
  <si>
    <t xml:space="preserve">zasiłki i pomoc w naturze oraz składki na ubezpieczenia emerytalne i rentowe </t>
  </si>
  <si>
    <t>zakup usług dostępu do sieci Internet</t>
  </si>
  <si>
    <t xml:space="preserve">zasiłki i pomoc w naturze oraz składki na ubezpieczenia emerytalne i rentowe  </t>
  </si>
  <si>
    <t>przychody z zaciągniętych pożyczek na finansowanie zadań realizowanych z udziałem środków pochodzących z budżetu Unii Eropejskiej</t>
  </si>
  <si>
    <t>budowa remizy w Niekursku</t>
  </si>
  <si>
    <t>zakup usług dostepu do sieci Internet</t>
  </si>
  <si>
    <t xml:space="preserve"> </t>
  </si>
  <si>
    <t xml:space="preserve">       </t>
  </si>
  <si>
    <t xml:space="preserve">                   </t>
  </si>
  <si>
    <t>wydatki osobowe niezaliczone do wynagrodzeń</t>
  </si>
  <si>
    <t>Dochody 2006 - plan</t>
  </si>
  <si>
    <t>wpływy z opłat za zarząd, użytkowanie i użytkowanie wieczyste nieruchomości</t>
  </si>
  <si>
    <t xml:space="preserve">Dotacje 2006 - otrzymywane do budżetu                                     </t>
  </si>
  <si>
    <t xml:space="preserve">Dotacje 2006 - przekazywane z budżetu                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</si>
  <si>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</si>
  <si>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</si>
  <si>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dotacje celowe otrzymane z powiatu na zadania bieżące realizowane na podstawie porozumień  między jednostkami samorządu terytorialnego</t>
  </si>
  <si>
    <t>75831</t>
  </si>
  <si>
    <t>część równoważąca subwencji ogólnej dla gmin</t>
  </si>
  <si>
    <t>dotacje celowe otrzymane z budżetu państwa na realizację zadań bieżących z zakresu administracji rządowej oraz innych zadań zleconych gminie (zwiazkom gmin) ustawami</t>
  </si>
  <si>
    <t>dotacje celowe otrzymane z budżetu państwa na realizację zadań bieżących z zakresu administracji rządowej oraz innych zadań zleconych gminie(zwiazkom gmin) ustawami</t>
  </si>
  <si>
    <t>zakup usług medycznych</t>
  </si>
  <si>
    <t>składki na fundusz pracy</t>
  </si>
  <si>
    <t>zakup usług dostepu do sieci interet</t>
  </si>
  <si>
    <t>Starostwo Powiatowe- utrzymanie pracownika ZNP</t>
  </si>
  <si>
    <t>Załącznik Nr 5</t>
  </si>
  <si>
    <t>Załącznik Nr 8</t>
  </si>
  <si>
    <t>budowa chodnika w Stobnie</t>
  </si>
  <si>
    <t xml:space="preserve">Wydatki majątkowe 2006 </t>
  </si>
  <si>
    <t>przebudowa oświetlenia w mieście</t>
  </si>
  <si>
    <t>budowa ulicy Fabrycznej</t>
  </si>
  <si>
    <t>budowa ulicy Rzemieślniczej</t>
  </si>
  <si>
    <t>budowa chodnika na ul.Orzeszkowej</t>
  </si>
  <si>
    <t>budowa oświetlenia przy ulicy Wieleńskiej (uzbrojenie terenów ul.Wieleńska)</t>
  </si>
  <si>
    <t>jednostka organizacyjna</t>
  </si>
  <si>
    <t>okres realizacji</t>
  </si>
  <si>
    <t>koszty ogółem</t>
  </si>
  <si>
    <t xml:space="preserve">Budowa kanalizacji sanitarnej i deszczowej oraz rozbudowa oczyszczalni ścieków w Gminie Trzcianka </t>
  </si>
  <si>
    <t>Urząd Miejski Trzcianki</t>
  </si>
  <si>
    <t>2005-2006</t>
  </si>
  <si>
    <t>cel:</t>
  </si>
  <si>
    <t>Rozbudowa infrastruktury technicznej na terenie gminy, modernizacja i rozbudowa miejskiej oczyszczalni ścieków, uzbrojenie terenów budownictwa jednorodzinnego.</t>
  </si>
  <si>
    <t>2.</t>
  </si>
  <si>
    <t>Modernizacja dróg gminnych</t>
  </si>
  <si>
    <t>2004-2011</t>
  </si>
  <si>
    <t>Poprawa stanu nawierzchni dróg gminnych</t>
  </si>
  <si>
    <t>3.</t>
  </si>
  <si>
    <t>Uzbrojenie techniczne terenów budownictwa mieszkaniowego w rejonie ul. Wieleńskiej</t>
  </si>
  <si>
    <t>2006-2008</t>
  </si>
  <si>
    <t xml:space="preserve">Poprawa stanu nawierzchni dróg i bezpieczeństwa mieszkańców </t>
  </si>
  <si>
    <t>4.</t>
  </si>
  <si>
    <t>Uzbrojenie techniczne terenów budownictwa mieszkaniowego w rejonie jeziora Okunie lub Sarcz</t>
  </si>
  <si>
    <t>2005-2009</t>
  </si>
  <si>
    <t>5.</t>
  </si>
  <si>
    <t>Budowa pływalni (kryty basen)</t>
  </si>
  <si>
    <t>2007-2008</t>
  </si>
  <si>
    <t>Budowa bazy rekreacyjno-edukacyjno-sportowej</t>
  </si>
  <si>
    <t>6.</t>
  </si>
  <si>
    <t>Budowa sali sportowej we wsi Siedlisko</t>
  </si>
  <si>
    <t>7.</t>
  </si>
  <si>
    <t>Budowa remizy 
w Niekursku</t>
  </si>
  <si>
    <t>2005-2007</t>
  </si>
  <si>
    <t>Poprawa bezpieczeństwa i ochrona przeciwpożarowa</t>
  </si>
  <si>
    <t xml:space="preserve">Wydatki 2006 na finansowanie wieloletnich programów inwestycyjnych </t>
  </si>
  <si>
    <t>Plan przychodów i rozchodów 2006</t>
  </si>
  <si>
    <t>zakup taśmy dla ochrony kasztanowców</t>
  </si>
  <si>
    <t>koszty prowadzenia rachunku</t>
  </si>
  <si>
    <t>Załącznik Nr 7</t>
  </si>
  <si>
    <t>Załącznik Nr 10</t>
  </si>
  <si>
    <t>promocja jednostek samorzadu terytorialnego</t>
  </si>
  <si>
    <t>sołectwo Górnica</t>
  </si>
  <si>
    <t>sołectwo Niowa Wieś</t>
  </si>
  <si>
    <t>sołectwo Siedlisko</t>
  </si>
  <si>
    <t>Sołectwo Solarnia</t>
  </si>
  <si>
    <t>sołectwo Rychlik</t>
  </si>
  <si>
    <t>Wydatki jednostek pomocniczych Gminy 2006</t>
  </si>
  <si>
    <t>Załącznik Nr 14</t>
  </si>
  <si>
    <t xml:space="preserve">      Ochrona zdrowia</t>
  </si>
  <si>
    <t>zasiłki i pomoc w naturze oraz składki na ubezpieczenia emerytalne i rentowe</t>
  </si>
  <si>
    <t>a)</t>
  </si>
  <si>
    <t>b)</t>
  </si>
  <si>
    <t>a) środki własne                b) środki z innych źródeł</t>
  </si>
  <si>
    <t xml:space="preserve">                </t>
  </si>
  <si>
    <t xml:space="preserve">Wydatki 2006 związane z realizacją zadań wspólnych realizowanych w drodze umów lub porozumień między jednostkami samorządu terytorialnego </t>
  </si>
  <si>
    <t>Wydatki 2006 związane z realizacją zadań z zakresu administracji rządowej i innych zadań zleconych ustawami</t>
  </si>
  <si>
    <t>Wydatki 2006 - plan</t>
  </si>
  <si>
    <t>Przychody i wydatki Gminnego Funduszu Ochrony Środowiska i Gospodarki Wodnej 2006</t>
  </si>
  <si>
    <t>Dochody i wydatki 2006 z tytułu opłat za wydawanie zezwoleń na sprzedaż napojów alkoholowych oraz wydatki na realizację zadań określonych w programie profilaktyki i rozwiązywania problemów alkoholowych</t>
  </si>
  <si>
    <t>Dochody z tytułu opłat za wydawanie zezwoleń na sprzedaż napojów alkoholowych</t>
  </si>
  <si>
    <t>Wydatki na realizację zadań określonych w programie profilaktyki i rozwiązywania problemów alkoholowych</t>
  </si>
  <si>
    <t>Załącznik Nr 11</t>
  </si>
  <si>
    <t>środki obrotowe</t>
  </si>
  <si>
    <t>w tym:</t>
  </si>
  <si>
    <t xml:space="preserve">w tym: </t>
  </si>
  <si>
    <t>na początek roku</t>
  </si>
  <si>
    <t>dotacje</t>
  </si>
  <si>
    <t xml:space="preserve"> płace
 i pochodne</t>
  </si>
  <si>
    <t>wydatki
inwestycyjne</t>
  </si>
  <si>
    <t>pozostałe wydatki</t>
  </si>
  <si>
    <t>na koniec roku</t>
  </si>
  <si>
    <t>przedszkola</t>
  </si>
  <si>
    <t>zmiana</t>
  </si>
  <si>
    <t xml:space="preserve">przedszkola - plan </t>
  </si>
  <si>
    <t>przedszkola - plan po zmianach</t>
  </si>
  <si>
    <t>dokształcanie i doskanalenie nauczycieli</t>
  </si>
  <si>
    <t>Załącznik Nr 12</t>
  </si>
  <si>
    <t>środki pieniężne</t>
  </si>
  <si>
    <t>dochody</t>
  </si>
  <si>
    <t>wydatki</t>
  </si>
  <si>
    <t>plan po zm.</t>
  </si>
  <si>
    <t>budowa wodociągu w Osińcu</t>
  </si>
  <si>
    <t>Plan przychodów i rozchodów zakładów budżetowych na 2006</t>
  </si>
  <si>
    <t xml:space="preserve">Plan dochodów własnych jednostek budżetowych i wydatków nimi sfinansowanych 2006 </t>
  </si>
  <si>
    <t>rezerwy na inwestycje i zakupy inwestycyjne</t>
  </si>
  <si>
    <t>świadczenia rodzinne, zaliczka alimentacyjna oraz składki na ubezpieczenia emerytalne i rentowe z ubezpieczenia społecznego</t>
  </si>
  <si>
    <t>rezerwa na inwestycje i zakupy inwestycyjne</t>
  </si>
  <si>
    <t>dotacja przedmiotowa z budżetu dla jednostek nie zaliczanych do sektora finansów publicznych</t>
  </si>
  <si>
    <t>Caritas Parafii p.w. Św. Jana Chrzciciela</t>
  </si>
  <si>
    <t>Stowarzyszenie "Pomagajmy Dzieciom"</t>
  </si>
  <si>
    <t>Towarzystwo Przyjaciół Dzieci Koło Przyjaciół Dzieci Niepełnosprawnych w Trzciance</t>
  </si>
  <si>
    <t>Olimpiady Specjalne Polska Oodział Regionalny Olimpiady Specjalne Polska Wielkopolskie</t>
  </si>
  <si>
    <t>Załącznik Nr 15</t>
  </si>
  <si>
    <t>* Środki w ramach Zintegrowanego Programu Operacyjnego Rozwoju Regionalnego</t>
  </si>
  <si>
    <t xml:space="preserve">Dochody 2006 związane z realizacją zadań z zakresu administracji rządowej i innych zadań zleconych ustawami </t>
  </si>
  <si>
    <t>przeciwdziałanie narkomanii</t>
  </si>
  <si>
    <t>MKS "Lubuszanin"</t>
  </si>
  <si>
    <t>MKS MDK</t>
  </si>
  <si>
    <t>UKS "Dysk" przy SP nr 3</t>
  </si>
  <si>
    <t>UKS " Kajak"przy Gimnazjum nr 1</t>
  </si>
  <si>
    <t>Sekcja Olimpiad Specjalnych "Olimpijczyk"</t>
  </si>
  <si>
    <t>UKS "Fortuna" Biała</t>
  </si>
  <si>
    <t>LKS "Zuch" Rychlik</t>
  </si>
  <si>
    <t>Trzcianeckie Stowarzyszenie LZS</t>
  </si>
  <si>
    <t>ZHP</t>
  </si>
  <si>
    <t>Oddział Olimpiad Specjalnych "Olimpijczyk"</t>
  </si>
  <si>
    <t>PTSS "Sprawni Razem"</t>
  </si>
  <si>
    <t xml:space="preserve">Wydatki 2006 na programy i projekty realizowane ze środków pochodzących z funduszy strukturalnych Unii Europejskiej </t>
  </si>
  <si>
    <t>budowa oświetlenia na ulicach: Ogrodowa, Łąkowa, Łomnicka</t>
  </si>
  <si>
    <t>współpraca z WZDW - budowa chodnika i ścieżki piesz- rowerowej w Siedlisku</t>
  </si>
  <si>
    <t>modernizacja ulicy Wieleńskiej oraz ulicy Dąbrowskiego i Wiosny Ludów w ramach współpracy z WZDW w zakresie planowanej przebudowy drogi 178</t>
  </si>
  <si>
    <t>do Uchwały Nr XLVII/326/06</t>
  </si>
  <si>
    <t>z dnia 26 stycznia 2006 r.</t>
  </si>
  <si>
    <t xml:space="preserve">                           </t>
  </si>
  <si>
    <t xml:space="preserve">z dnia 26 stycznia 2006 r. </t>
  </si>
  <si>
    <t>Oświetlenie w Dłużewie ( środki sołectwa Łomnica 4.000 zł)</t>
  </si>
  <si>
    <t>zwalczanie narkomanii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</si>
</sst>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21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7"/>
      <name val="Arial CE"/>
      <family val="2"/>
    </font>
    <font>
      <i/>
      <sz val="8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sz val="7"/>
      <name val="Arial CE"/>
      <family val="2"/>
    </font>
    <font>
      <i/>
      <sz val="7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Fill="1" applyBorder="1" applyAlignment="1" quotePrefix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 indent="1"/>
    </xf>
    <xf numFmtId="0" fontId="5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 quotePrefix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 inden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1" xfId="0" applyFont="1" applyFill="1" applyBorder="1" applyAlignment="1" quotePrefix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Fill="1" applyBorder="1" applyAlignment="1" quotePrefix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 indent="1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 wrapText="1"/>
    </xf>
    <xf numFmtId="0" fontId="4" fillId="0" borderId="0" xfId="0" applyFont="1" applyFill="1" applyAlignment="1">
      <alignment horizontal="left" vertical="center" inden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 indent="1"/>
    </xf>
    <xf numFmtId="4" fontId="3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 indent="1"/>
    </xf>
    <xf numFmtId="4" fontId="3" fillId="0" borderId="0" xfId="0" applyNumberFormat="1" applyFont="1" applyAlignment="1">
      <alignment/>
    </xf>
    <xf numFmtId="4" fontId="4" fillId="0" borderId="0" xfId="0" applyNumberFormat="1" applyFont="1" applyFill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4" fontId="4" fillId="0" borderId="0" xfId="0" applyNumberFormat="1" applyFont="1" applyAlignment="1">
      <alignment horizontal="right" vertical="center"/>
    </xf>
    <xf numFmtId="0" fontId="6" fillId="0" borderId="1" xfId="0" applyFont="1" applyFill="1" applyBorder="1" applyAlignment="1" quotePrefix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indent="1"/>
    </xf>
    <xf numFmtId="0" fontId="10" fillId="0" borderId="3" xfId="0" applyFont="1" applyFill="1" applyBorder="1" applyAlignment="1" quotePrefix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 indent="1"/>
    </xf>
    <xf numFmtId="4" fontId="10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 indent="1"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4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4" fontId="3" fillId="0" borderId="0" xfId="0" applyNumberFormat="1" applyFont="1" applyAlignment="1">
      <alignment vertical="center"/>
    </xf>
    <xf numFmtId="4" fontId="3" fillId="0" borderId="6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 quotePrefix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quotePrefix="1">
      <alignment horizontal="center" vertical="center" wrapText="1"/>
    </xf>
    <xf numFmtId="0" fontId="2" fillId="2" borderId="0" xfId="0" applyFont="1" applyFill="1" applyAlignment="1">
      <alignment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quotePrefix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quotePrefix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/>
    </xf>
    <xf numFmtId="0" fontId="2" fillId="0" borderId="3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2" xfId="0" applyFont="1" applyFill="1" applyBorder="1" applyAlignment="1" quotePrefix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vertical="center"/>
    </xf>
    <xf numFmtId="0" fontId="2" fillId="0" borderId="3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 quotePrefix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quotePrefix="1">
      <alignment horizontal="center" vertical="center" wrapText="1"/>
    </xf>
    <xf numFmtId="0" fontId="2" fillId="2" borderId="1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 quotePrefix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indent="1"/>
    </xf>
    <xf numFmtId="164" fontId="2" fillId="2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4" fontId="10" fillId="0" borderId="1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 inden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indent="1"/>
    </xf>
    <xf numFmtId="4" fontId="15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4" fontId="4" fillId="0" borderId="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 quotePrefix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2"/>
    </xf>
    <xf numFmtId="0" fontId="7" fillId="0" borderId="1" xfId="0" applyFont="1" applyFill="1" applyBorder="1" applyAlignment="1">
      <alignment horizontal="left" vertical="center" wrapText="1" indent="1"/>
    </xf>
    <xf numFmtId="4" fontId="7" fillId="0" borderId="1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left" vertical="center" indent="1"/>
    </xf>
    <xf numFmtId="0" fontId="2" fillId="0" borderId="1" xfId="0" applyFont="1" applyBorder="1" applyAlignment="1" quotePrefix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quotePrefix="1">
      <alignment horizontal="center" vertical="center" wrapText="1"/>
    </xf>
    <xf numFmtId="0" fontId="10" fillId="0" borderId="0" xfId="0" applyFont="1" applyAlignment="1">
      <alignment horizontal="left" vertical="center" indent="1"/>
    </xf>
    <xf numFmtId="0" fontId="10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1"/>
    </xf>
    <xf numFmtId="0" fontId="10" fillId="0" borderId="1" xfId="0" applyFont="1" applyBorder="1" applyAlignment="1">
      <alignment horizontal="center" vertical="center"/>
    </xf>
    <xf numFmtId="4" fontId="5" fillId="0" borderId="0" xfId="0" applyNumberFormat="1" applyFont="1" applyAlignment="1">
      <alignment/>
    </xf>
    <xf numFmtId="0" fontId="10" fillId="0" borderId="1" xfId="0" applyFont="1" applyFill="1" applyBorder="1" applyAlignment="1" quotePrefix="1">
      <alignment horizontal="center" vertical="center" wrapText="1"/>
    </xf>
    <xf numFmtId="0" fontId="3" fillId="2" borderId="2" xfId="0" applyFont="1" applyFill="1" applyBorder="1" applyAlignment="1" quotePrefix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 quotePrefix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/>
    </xf>
    <xf numFmtId="164" fontId="4" fillId="0" borderId="0" xfId="0" applyNumberFormat="1" applyFont="1" applyAlignment="1">
      <alignment/>
    </xf>
    <xf numFmtId="0" fontId="3" fillId="2" borderId="3" xfId="0" applyFont="1" applyFill="1" applyBorder="1" applyAlignment="1">
      <alignment horizontal="left" vertical="center" wrapText="1" indent="1"/>
    </xf>
    <xf numFmtId="4" fontId="0" fillId="0" borderId="0" xfId="0" applyNumberFormat="1" applyBorder="1" applyAlignment="1">
      <alignment/>
    </xf>
    <xf numFmtId="4" fontId="2" fillId="0" borderId="0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2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 quotePrefix="1">
      <alignment horizontal="center" vertical="center" wrapText="1"/>
    </xf>
    <xf numFmtId="0" fontId="9" fillId="0" borderId="0" xfId="0" applyFont="1" applyAlignment="1">
      <alignment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indent="1"/>
    </xf>
    <xf numFmtId="0" fontId="13" fillId="0" borderId="1" xfId="0" applyFont="1" applyBorder="1" applyAlignment="1">
      <alignment horizontal="center" vertical="center"/>
    </xf>
    <xf numFmtId="4" fontId="4" fillId="3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indent="1"/>
    </xf>
    <xf numFmtId="0" fontId="14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7" fillId="0" borderId="4" xfId="0" applyFont="1" applyFill="1" applyBorder="1" applyAlignment="1" quotePrefix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4" fontId="2" fillId="0" borderId="1" xfId="0" applyNumberFormat="1" applyFont="1" applyFill="1" applyBorder="1" applyAlignment="1" quotePrefix="1">
      <alignment horizontal="right" vertical="center" wrapText="1"/>
    </xf>
    <xf numFmtId="0" fontId="2" fillId="0" borderId="1" xfId="0" applyFont="1" applyFill="1" applyBorder="1" applyAlignment="1" quotePrefix="1">
      <alignment horizontal="right" vertical="center" wrapText="1"/>
    </xf>
    <xf numFmtId="0" fontId="2" fillId="0" borderId="3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4" fontId="4" fillId="0" borderId="9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8" fillId="0" borderId="2" xfId="0" applyNumberFormat="1" applyFont="1" applyFill="1" applyBorder="1" applyAlignment="1" quotePrefix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4" fontId="2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left" vertical="center" wrapText="1" indent="2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4" fontId="3" fillId="0" borderId="2" xfId="0" applyNumberFormat="1" applyFont="1" applyFill="1" applyBorder="1" applyAlignment="1" quotePrefix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4" fontId="7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 indent="2"/>
    </xf>
    <xf numFmtId="4" fontId="10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4" fontId="0" fillId="0" borderId="0" xfId="0" applyNumberFormat="1" applyFont="1" applyBorder="1" applyAlignment="1">
      <alignment horizontal="right" vertical="center"/>
    </xf>
    <xf numFmtId="0" fontId="7" fillId="0" borderId="1" xfId="0" applyFont="1" applyBorder="1" applyAlignment="1" quotePrefix="1">
      <alignment horizontal="center" vertical="center" wrapText="1"/>
    </xf>
    <xf numFmtId="0" fontId="10" fillId="0" borderId="1" xfId="0" applyFont="1" applyBorder="1" applyAlignment="1">
      <alignment horizontal="left" vertical="center" wrapText="1" indent="1"/>
    </xf>
    <xf numFmtId="4" fontId="2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3" fillId="0" borderId="1" xfId="0" applyFont="1" applyBorder="1" applyAlignment="1" quotePrefix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1" xfId="0" applyFont="1" applyFill="1" applyBorder="1" applyAlignment="1">
      <alignment horizontal="left" wrapText="1" indent="1"/>
    </xf>
    <xf numFmtId="0" fontId="3" fillId="0" borderId="11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/>
    </xf>
    <xf numFmtId="0" fontId="2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left" vertical="center" indent="1"/>
    </xf>
    <xf numFmtId="0" fontId="2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vertical="center"/>
    </xf>
    <xf numFmtId="0" fontId="7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 indent="1"/>
    </xf>
    <xf numFmtId="4" fontId="7" fillId="0" borderId="1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/>
    </xf>
    <xf numFmtId="4" fontId="7" fillId="0" borderId="23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4" fontId="7" fillId="0" borderId="24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 wrapText="1" indent="1"/>
    </xf>
    <xf numFmtId="4" fontId="8" fillId="0" borderId="27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28" xfId="0" applyNumberFormat="1" applyFont="1" applyBorder="1" applyAlignment="1">
      <alignment horizontal="right" vertical="center" wrapText="1"/>
    </xf>
    <xf numFmtId="4" fontId="8" fillId="0" borderId="29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4" fontId="8" fillId="0" borderId="24" xfId="0" applyNumberFormat="1" applyFont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4" fontId="8" fillId="0" borderId="31" xfId="0" applyNumberFormat="1" applyFont="1" applyBorder="1" applyAlignment="1">
      <alignment horizontal="right" vertical="center" wrapText="1"/>
    </xf>
    <xf numFmtId="4" fontId="8" fillId="0" borderId="32" xfId="0" applyNumberFormat="1" applyFont="1" applyBorder="1" applyAlignment="1">
      <alignment horizontal="right" vertical="center" wrapText="1"/>
    </xf>
    <xf numFmtId="4" fontId="8" fillId="0" borderId="33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10" fillId="0" borderId="23" xfId="0" applyNumberFormat="1" applyFont="1" applyBorder="1" applyAlignment="1">
      <alignment horizontal="right" vertical="center" wrapText="1"/>
    </xf>
    <xf numFmtId="4" fontId="10" fillId="0" borderId="24" xfId="0" applyNumberFormat="1" applyFont="1" applyBorder="1" applyAlignment="1">
      <alignment horizontal="right" vertical="center" wrapText="1"/>
    </xf>
    <xf numFmtId="0" fontId="7" fillId="0" borderId="3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left" vertical="center" wrapText="1" indent="1"/>
    </xf>
    <xf numFmtId="4" fontId="7" fillId="0" borderId="27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7" fillId="0" borderId="28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0" fontId="7" fillId="0" borderId="35" xfId="0" applyFont="1" applyBorder="1" applyAlignment="1">
      <alignment horizontal="center" vertical="center" wrapText="1"/>
    </xf>
    <xf numFmtId="4" fontId="7" fillId="0" borderId="36" xfId="0" applyNumberFormat="1" applyFont="1" applyBorder="1" applyAlignment="1">
      <alignment horizontal="right" vertical="center"/>
    </xf>
    <xf numFmtId="4" fontId="7" fillId="0" borderId="37" xfId="0" applyNumberFormat="1" applyFont="1" applyBorder="1" applyAlignment="1">
      <alignment horizontal="right" vertical="center"/>
    </xf>
    <xf numFmtId="4" fontId="7" fillId="0" borderId="35" xfId="0" applyNumberFormat="1" applyFont="1" applyBorder="1" applyAlignment="1">
      <alignment horizontal="right" vertical="center"/>
    </xf>
    <xf numFmtId="4" fontId="7" fillId="0" borderId="38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39" xfId="0" applyFont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/>
    </xf>
    <xf numFmtId="0" fontId="7" fillId="3" borderId="12" xfId="0" applyFont="1" applyFill="1" applyBorder="1" applyAlignment="1">
      <alignment horizontal="left" vertical="center" indent="1"/>
    </xf>
    <xf numFmtId="0" fontId="7" fillId="0" borderId="40" xfId="0" applyFont="1" applyFill="1" applyBorder="1" applyAlignment="1">
      <alignment horizontal="left" vertical="center" wrapText="1" indent="1"/>
    </xf>
    <xf numFmtId="4" fontId="7" fillId="0" borderId="2" xfId="0" applyNumberFormat="1" applyFont="1" applyBorder="1" applyAlignment="1">
      <alignment horizontal="right" vertical="center" wrapText="1"/>
    </xf>
    <xf numFmtId="0" fontId="7" fillId="0" borderId="34" xfId="0" applyFont="1" applyFill="1" applyBorder="1" applyAlignment="1">
      <alignment horizontal="left" vertical="center" wrapText="1" indent="1"/>
    </xf>
    <xf numFmtId="4" fontId="2" fillId="0" borderId="2" xfId="0" applyNumberFormat="1" applyFont="1" applyBorder="1" applyAlignment="1">
      <alignment horizontal="right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 indent="1"/>
    </xf>
    <xf numFmtId="0" fontId="2" fillId="0" borderId="6" xfId="0" applyFont="1" applyFill="1" applyBorder="1" applyAlignment="1">
      <alignment horizontal="left" vertical="center" wrapText="1" indent="1"/>
    </xf>
    <xf numFmtId="0" fontId="2" fillId="0" borderId="26" xfId="0" applyFont="1" applyFill="1" applyBorder="1" applyAlignment="1">
      <alignment horizontal="left" vertical="center" wrapText="1" indent="1"/>
    </xf>
    <xf numFmtId="0" fontId="2" fillId="3" borderId="21" xfId="0" applyFont="1" applyFill="1" applyBorder="1" applyAlignment="1">
      <alignment/>
    </xf>
    <xf numFmtId="0" fontId="7" fillId="0" borderId="25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 indent="1"/>
    </xf>
    <xf numFmtId="4" fontId="10" fillId="0" borderId="2" xfId="0" applyNumberFormat="1" applyFont="1" applyBorder="1" applyAlignment="1">
      <alignment horizontal="right" vertical="center" wrapText="1"/>
    </xf>
    <xf numFmtId="0" fontId="7" fillId="0" borderId="13" xfId="0" applyFont="1" applyFill="1" applyBorder="1" applyAlignment="1">
      <alignment horizontal="left" vertical="center" wrapText="1" indent="1"/>
    </xf>
    <xf numFmtId="4" fontId="8" fillId="0" borderId="26" xfId="0" applyNumberFormat="1" applyFont="1" applyBorder="1" applyAlignment="1">
      <alignment horizontal="right" vertical="center" wrapText="1"/>
    </xf>
    <xf numFmtId="4" fontId="7" fillId="0" borderId="42" xfId="0" applyNumberFormat="1" applyFont="1" applyBorder="1" applyAlignment="1">
      <alignment horizontal="right" vertical="center"/>
    </xf>
    <xf numFmtId="4" fontId="2" fillId="0" borderId="37" xfId="0" applyNumberFormat="1" applyFont="1" applyBorder="1" applyAlignment="1">
      <alignment horizontal="right" vertical="center"/>
    </xf>
    <xf numFmtId="4" fontId="2" fillId="0" borderId="36" xfId="0" applyNumberFormat="1" applyFont="1" applyBorder="1" applyAlignment="1">
      <alignment horizontal="right" vertical="center"/>
    </xf>
    <xf numFmtId="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" fontId="8" fillId="0" borderId="2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 quotePrefix="1">
      <alignment horizontal="right" vertical="center" wrapText="1"/>
    </xf>
    <xf numFmtId="0" fontId="4" fillId="0" borderId="2" xfId="0" applyFont="1" applyFill="1" applyBorder="1" applyAlignment="1" quotePrefix="1">
      <alignment horizontal="center" vertical="center"/>
    </xf>
    <xf numFmtId="4" fontId="4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center" wrapText="1" indent="1"/>
    </xf>
    <xf numFmtId="0" fontId="3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64" fontId="14" fillId="0" borderId="0" xfId="0" applyNumberFormat="1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4" fillId="0" borderId="44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1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workbookViewId="0" topLeftCell="A94">
      <selection activeCell="H1" sqref="A1:H100"/>
    </sheetView>
  </sheetViews>
  <sheetFormatPr defaultColWidth="9.00390625" defaultRowHeight="12.75"/>
  <cols>
    <col min="1" max="1" width="5.25390625" style="9" customWidth="1"/>
    <col min="2" max="2" width="7.625" style="9" customWidth="1"/>
    <col min="3" max="3" width="5.25390625" style="9" customWidth="1"/>
    <col min="4" max="4" width="33.25390625" style="9" customWidth="1"/>
    <col min="5" max="5" width="12.25390625" style="55" hidden="1" customWidth="1"/>
    <col min="6" max="6" width="11.25390625" style="91" hidden="1" customWidth="1"/>
    <col min="7" max="7" width="11.625" style="91" hidden="1" customWidth="1"/>
    <col min="8" max="8" width="20.375" style="0" customWidth="1"/>
  </cols>
  <sheetData>
    <row r="1" spans="1:8" ht="12.75">
      <c r="A1" s="106"/>
      <c r="B1" s="106"/>
      <c r="C1" s="106"/>
      <c r="D1" s="106"/>
      <c r="E1" s="107"/>
      <c r="H1" s="107" t="s">
        <v>279</v>
      </c>
    </row>
    <row r="2" spans="1:8" ht="12.75">
      <c r="A2" s="106"/>
      <c r="B2" s="106"/>
      <c r="C2" s="106"/>
      <c r="D2" s="106"/>
      <c r="E2" s="107"/>
      <c r="H2" s="107" t="s">
        <v>474</v>
      </c>
    </row>
    <row r="3" spans="1:8" ht="12.75">
      <c r="A3" s="106"/>
      <c r="B3" s="106"/>
      <c r="C3" s="106"/>
      <c r="D3" s="106"/>
      <c r="E3" s="107"/>
      <c r="H3" s="107" t="s">
        <v>192</v>
      </c>
    </row>
    <row r="4" spans="1:8" ht="12.75">
      <c r="A4" s="106"/>
      <c r="B4" s="106"/>
      <c r="C4" s="106"/>
      <c r="D4" s="106"/>
      <c r="E4" s="107"/>
      <c r="H4" s="107" t="s">
        <v>475</v>
      </c>
    </row>
    <row r="5" spans="1:5" ht="12.75">
      <c r="A5" s="106"/>
      <c r="B5" s="106"/>
      <c r="C5" s="106"/>
      <c r="D5" s="106" t="s">
        <v>340</v>
      </c>
      <c r="E5" s="107"/>
    </row>
    <row r="6" spans="1:5" ht="18.75" customHeight="1">
      <c r="A6" s="394" t="s">
        <v>344</v>
      </c>
      <c r="B6" s="394"/>
      <c r="C6" s="394"/>
      <c r="D6" s="394"/>
      <c r="E6" s="108"/>
    </row>
    <row r="7" spans="1:5" ht="8.25" customHeight="1">
      <c r="A7" s="14"/>
      <c r="B7" s="14"/>
      <c r="C7" s="14"/>
      <c r="D7" s="109"/>
      <c r="E7" s="108"/>
    </row>
    <row r="8" spans="1:8" s="9" customFormat="1" ht="24.75" customHeight="1">
      <c r="A8" s="7" t="s">
        <v>0</v>
      </c>
      <c r="B8" s="6" t="s">
        <v>1</v>
      </c>
      <c r="C8" s="38" t="s">
        <v>2</v>
      </c>
      <c r="D8" s="7" t="s">
        <v>3</v>
      </c>
      <c r="E8" s="12" t="s">
        <v>165</v>
      </c>
      <c r="F8" s="12" t="s">
        <v>304</v>
      </c>
      <c r="G8" s="12" t="s">
        <v>305</v>
      </c>
      <c r="H8" s="202" t="s">
        <v>168</v>
      </c>
    </row>
    <row r="9" spans="1:8" s="9" customFormat="1" ht="24.75" customHeight="1">
      <c r="A9" s="57" t="s">
        <v>8</v>
      </c>
      <c r="B9" s="3"/>
      <c r="C9" s="31"/>
      <c r="D9" s="58" t="s">
        <v>9</v>
      </c>
      <c r="E9" s="110">
        <f>SUM(E10)</f>
        <v>3100</v>
      </c>
      <c r="F9" s="29">
        <f aca="true" t="shared" si="0" ref="F9:H10">SUM(F10)</f>
        <v>0</v>
      </c>
      <c r="G9" s="29">
        <f t="shared" si="0"/>
        <v>0</v>
      </c>
      <c r="H9" s="29">
        <f t="shared" si="0"/>
        <v>3100</v>
      </c>
    </row>
    <row r="10" spans="1:8" s="43" customFormat="1" ht="21" customHeight="1">
      <c r="A10" s="130"/>
      <c r="B10" s="126" t="s">
        <v>10</v>
      </c>
      <c r="C10" s="135"/>
      <c r="D10" s="132" t="s">
        <v>6</v>
      </c>
      <c r="E10" s="124">
        <f>SUM(E11)</f>
        <v>3100</v>
      </c>
      <c r="F10" s="141">
        <f t="shared" si="0"/>
        <v>0</v>
      </c>
      <c r="G10" s="141">
        <f t="shared" si="0"/>
        <v>0</v>
      </c>
      <c r="H10" s="141">
        <f t="shared" si="0"/>
        <v>3100</v>
      </c>
    </row>
    <row r="11" spans="1:8" s="43" customFormat="1" ht="45">
      <c r="A11" s="130"/>
      <c r="B11" s="131"/>
      <c r="C11" s="127" t="s">
        <v>234</v>
      </c>
      <c r="D11" s="132" t="s">
        <v>7</v>
      </c>
      <c r="E11" s="124">
        <v>3100</v>
      </c>
      <c r="F11" s="148"/>
      <c r="G11" s="148"/>
      <c r="H11" s="148">
        <f>SUM(E11+F11-G11)</f>
        <v>3100</v>
      </c>
    </row>
    <row r="12" spans="1:8" s="72" customFormat="1" ht="24.75" customHeight="1">
      <c r="A12" s="180">
        <v>600</v>
      </c>
      <c r="B12" s="64"/>
      <c r="C12" s="65"/>
      <c r="D12" s="66" t="s">
        <v>89</v>
      </c>
      <c r="E12" s="110">
        <f aca="true" t="shared" si="1" ref="E12:H13">SUM(E13)</f>
        <v>20000</v>
      </c>
      <c r="F12" s="29">
        <f t="shared" si="1"/>
        <v>10000</v>
      </c>
      <c r="G12" s="29">
        <f t="shared" si="1"/>
        <v>0</v>
      </c>
      <c r="H12" s="29">
        <f t="shared" si="1"/>
        <v>30000</v>
      </c>
    </row>
    <row r="13" spans="1:8" s="43" customFormat="1" ht="22.5" customHeight="1">
      <c r="A13" s="130"/>
      <c r="B13" s="138" t="s">
        <v>90</v>
      </c>
      <c r="C13" s="142"/>
      <c r="D13" s="68" t="s">
        <v>91</v>
      </c>
      <c r="E13" s="124">
        <f t="shared" si="1"/>
        <v>20000</v>
      </c>
      <c r="F13" s="141">
        <f t="shared" si="1"/>
        <v>10000</v>
      </c>
      <c r="G13" s="141">
        <f t="shared" si="1"/>
        <v>0</v>
      </c>
      <c r="H13" s="141">
        <f t="shared" si="1"/>
        <v>30000</v>
      </c>
    </row>
    <row r="14" spans="1:8" s="43" customFormat="1" ht="21.75" customHeight="1">
      <c r="A14" s="130"/>
      <c r="B14" s="131"/>
      <c r="C14" s="127" t="s">
        <v>267</v>
      </c>
      <c r="D14" s="132" t="s">
        <v>183</v>
      </c>
      <c r="E14" s="124">
        <v>20000</v>
      </c>
      <c r="F14" s="148">
        <v>10000</v>
      </c>
      <c r="G14" s="148"/>
      <c r="H14" s="148">
        <f>SUM(E14+F14-G14)</f>
        <v>30000</v>
      </c>
    </row>
    <row r="15" spans="1:8" s="8" customFormat="1" ht="24.75" customHeight="1">
      <c r="A15" s="57" t="s">
        <v>11</v>
      </c>
      <c r="B15" s="4"/>
      <c r="C15" s="5"/>
      <c r="D15" s="58" t="s">
        <v>12</v>
      </c>
      <c r="E15" s="110">
        <f>SUM(E16,)</f>
        <v>1410700</v>
      </c>
      <c r="F15" s="29">
        <f>SUM(F16,)</f>
        <v>0</v>
      </c>
      <c r="G15" s="29">
        <f>SUM(G16,)</f>
        <v>0</v>
      </c>
      <c r="H15" s="29">
        <f>SUM(H16,)</f>
        <v>1410700</v>
      </c>
    </row>
    <row r="16" spans="1:8" s="43" customFormat="1" ht="21.75" customHeight="1">
      <c r="A16" s="125"/>
      <c r="B16" s="126" t="s">
        <v>13</v>
      </c>
      <c r="C16" s="135"/>
      <c r="D16" s="132" t="s">
        <v>197</v>
      </c>
      <c r="E16" s="124">
        <f>SUM(E17:E20)</f>
        <v>1410700</v>
      </c>
      <c r="F16" s="141">
        <f>SUM(F17:F20)</f>
        <v>0</v>
      </c>
      <c r="G16" s="141">
        <f>SUM(G17:G20)</f>
        <v>0</v>
      </c>
      <c r="H16" s="141">
        <f>SUM(H17:H20)</f>
        <v>1410700</v>
      </c>
    </row>
    <row r="17" spans="1:8" s="43" customFormat="1" ht="22.5">
      <c r="A17" s="125"/>
      <c r="B17" s="89"/>
      <c r="C17" s="134" t="s">
        <v>235</v>
      </c>
      <c r="D17" s="132" t="s">
        <v>345</v>
      </c>
      <c r="E17" s="124">
        <v>160000</v>
      </c>
      <c r="F17" s="148"/>
      <c r="G17" s="148"/>
      <c r="H17" s="148">
        <f>SUM(E17+F17-G17)</f>
        <v>160000</v>
      </c>
    </row>
    <row r="18" spans="1:8" s="43" customFormat="1" ht="67.5">
      <c r="A18" s="125"/>
      <c r="B18" s="89"/>
      <c r="C18" s="127" t="s">
        <v>236</v>
      </c>
      <c r="D18" s="132" t="s">
        <v>67</v>
      </c>
      <c r="E18" s="124">
        <f>177700</f>
        <v>177700</v>
      </c>
      <c r="F18" s="148"/>
      <c r="G18" s="148"/>
      <c r="H18" s="148">
        <f>SUM(E18+F18-G18)</f>
        <v>177700</v>
      </c>
    </row>
    <row r="19" spans="1:8" s="43" customFormat="1" ht="22.5">
      <c r="A19" s="125"/>
      <c r="B19" s="89"/>
      <c r="C19" s="127" t="s">
        <v>302</v>
      </c>
      <c r="D19" s="132" t="s">
        <v>284</v>
      </c>
      <c r="E19" s="124">
        <f>408200+57800+432000+115000+50000</f>
        <v>1063000</v>
      </c>
      <c r="F19" s="148"/>
      <c r="G19" s="148"/>
      <c r="H19" s="148">
        <f>SUM(E19+F19-G19)</f>
        <v>1063000</v>
      </c>
    </row>
    <row r="20" spans="1:8" s="43" customFormat="1" ht="21.75" customHeight="1">
      <c r="A20" s="125"/>
      <c r="B20" s="89"/>
      <c r="C20" s="127" t="s">
        <v>237</v>
      </c>
      <c r="D20" s="132" t="s">
        <v>14</v>
      </c>
      <c r="E20" s="124">
        <v>10000</v>
      </c>
      <c r="F20" s="148"/>
      <c r="G20" s="148"/>
      <c r="H20" s="148">
        <f>SUM(E20+F20-G20)</f>
        <v>10000</v>
      </c>
    </row>
    <row r="21" spans="1:8" s="8" customFormat="1" ht="24.75" customHeight="1">
      <c r="A21" s="57" t="s">
        <v>18</v>
      </c>
      <c r="B21" s="4"/>
      <c r="C21" s="5"/>
      <c r="D21" s="58" t="s">
        <v>19</v>
      </c>
      <c r="E21" s="110">
        <f>SUM(E22,E25)</f>
        <v>183550</v>
      </c>
      <c r="F21" s="110">
        <f>SUM(F22,F25)</f>
        <v>0</v>
      </c>
      <c r="G21" s="110">
        <f>SUM(G22,G25)</f>
        <v>0</v>
      </c>
      <c r="H21" s="110">
        <f>SUM(H22,H25)</f>
        <v>183550</v>
      </c>
    </row>
    <row r="22" spans="1:8" s="43" customFormat="1" ht="21" customHeight="1">
      <c r="A22" s="125"/>
      <c r="B22" s="126">
        <v>75011</v>
      </c>
      <c r="C22" s="135"/>
      <c r="D22" s="132" t="s">
        <v>20</v>
      </c>
      <c r="E22" s="124">
        <f>SUM(E23:E24)</f>
        <v>148550</v>
      </c>
      <c r="F22" s="141">
        <f>SUM(F23:F24)</f>
        <v>0</v>
      </c>
      <c r="G22" s="141">
        <f>SUM(G23:G24)</f>
        <v>0</v>
      </c>
      <c r="H22" s="141">
        <f>SUM(H23:H24)</f>
        <v>148550</v>
      </c>
    </row>
    <row r="23" spans="1:8" s="43" customFormat="1" ht="56.25">
      <c r="A23" s="125"/>
      <c r="B23" s="89"/>
      <c r="C23" s="127">
        <v>2010</v>
      </c>
      <c r="D23" s="132" t="s">
        <v>348</v>
      </c>
      <c r="E23" s="141">
        <v>144800</v>
      </c>
      <c r="F23" s="148"/>
      <c r="G23" s="148"/>
      <c r="H23" s="148">
        <f>SUM(E23+F23-G23)</f>
        <v>144800</v>
      </c>
    </row>
    <row r="24" spans="1:8" s="43" customFormat="1" ht="45">
      <c r="A24" s="125"/>
      <c r="B24" s="89"/>
      <c r="C24" s="127">
        <v>2360</v>
      </c>
      <c r="D24" s="132" t="s">
        <v>270</v>
      </c>
      <c r="E24" s="124">
        <v>3750</v>
      </c>
      <c r="F24" s="148"/>
      <c r="G24" s="148"/>
      <c r="H24" s="148">
        <f>SUM(E24+F24-G24)</f>
        <v>3750</v>
      </c>
    </row>
    <row r="25" spans="1:8" s="43" customFormat="1" ht="23.25" customHeight="1">
      <c r="A25" s="133"/>
      <c r="B25" s="126" t="s">
        <v>21</v>
      </c>
      <c r="C25" s="135"/>
      <c r="D25" s="132" t="s">
        <v>22</v>
      </c>
      <c r="E25" s="124">
        <f>SUM(E26)</f>
        <v>35000</v>
      </c>
      <c r="F25" s="141">
        <f>SUM(F26)</f>
        <v>0</v>
      </c>
      <c r="G25" s="141">
        <f>SUM(G26)</f>
        <v>0</v>
      </c>
      <c r="H25" s="141">
        <f>SUM(H26)</f>
        <v>35000</v>
      </c>
    </row>
    <row r="26" spans="1:8" s="43" customFormat="1" ht="21.75" customHeight="1">
      <c r="A26" s="133"/>
      <c r="B26" s="126"/>
      <c r="C26" s="134" t="s">
        <v>238</v>
      </c>
      <c r="D26" s="132" t="s">
        <v>15</v>
      </c>
      <c r="E26" s="124">
        <v>35000</v>
      </c>
      <c r="F26" s="148"/>
      <c r="G26" s="148"/>
      <c r="H26" s="148">
        <f>SUM(E26+F26-G26)</f>
        <v>35000</v>
      </c>
    </row>
    <row r="27" spans="1:8" s="8" customFormat="1" ht="36">
      <c r="A27" s="57">
        <v>751</v>
      </c>
      <c r="B27" s="6"/>
      <c r="C27" s="38"/>
      <c r="D27" s="58" t="s">
        <v>23</v>
      </c>
      <c r="E27" s="110">
        <f aca="true" t="shared" si="2" ref="E27:H28">SUM(E28)</f>
        <v>3930</v>
      </c>
      <c r="F27" s="110">
        <f t="shared" si="2"/>
        <v>0</v>
      </c>
      <c r="G27" s="110">
        <f t="shared" si="2"/>
        <v>100</v>
      </c>
      <c r="H27" s="110">
        <f t="shared" si="2"/>
        <v>3830</v>
      </c>
    </row>
    <row r="28" spans="1:8" s="43" customFormat="1" ht="22.5">
      <c r="A28" s="133"/>
      <c r="B28" s="126">
        <v>75101</v>
      </c>
      <c r="C28" s="135"/>
      <c r="D28" s="132" t="s">
        <v>24</v>
      </c>
      <c r="E28" s="124">
        <f t="shared" si="2"/>
        <v>3930</v>
      </c>
      <c r="F28" s="141">
        <f t="shared" si="2"/>
        <v>0</v>
      </c>
      <c r="G28" s="141">
        <f t="shared" si="2"/>
        <v>100</v>
      </c>
      <c r="H28" s="141">
        <f t="shared" si="2"/>
        <v>3830</v>
      </c>
    </row>
    <row r="29" spans="1:8" s="43" customFormat="1" ht="56.25">
      <c r="A29" s="133"/>
      <c r="B29" s="126"/>
      <c r="C29" s="135">
        <v>2010</v>
      </c>
      <c r="D29" s="132" t="s">
        <v>348</v>
      </c>
      <c r="E29" s="124">
        <v>3930</v>
      </c>
      <c r="F29" s="148"/>
      <c r="G29" s="148">
        <v>100</v>
      </c>
      <c r="H29" s="148">
        <f>SUM(E29+F29-G29)</f>
        <v>3830</v>
      </c>
    </row>
    <row r="30" spans="1:8" s="8" customFormat="1" ht="24.75" customHeight="1">
      <c r="A30" s="57" t="s">
        <v>25</v>
      </c>
      <c r="B30" s="4"/>
      <c r="C30" s="5"/>
      <c r="D30" s="58" t="s">
        <v>26</v>
      </c>
      <c r="E30" s="110">
        <f>SUM(E31,E33)</f>
        <v>4000</v>
      </c>
      <c r="F30" s="110">
        <f>SUM(F31,F33)</f>
        <v>0</v>
      </c>
      <c r="G30" s="110">
        <f>SUM(G31,G33)</f>
        <v>0</v>
      </c>
      <c r="H30" s="110">
        <f>SUM(H31,H33)</f>
        <v>4000</v>
      </c>
    </row>
    <row r="31" spans="1:8" s="43" customFormat="1" ht="21.75" customHeight="1">
      <c r="A31" s="133"/>
      <c r="B31" s="126" t="s">
        <v>27</v>
      </c>
      <c r="C31" s="135"/>
      <c r="D31" s="132" t="s">
        <v>28</v>
      </c>
      <c r="E31" s="124">
        <f>SUM(E32)</f>
        <v>400</v>
      </c>
      <c r="F31" s="141">
        <f>SUM(F32)</f>
        <v>0</v>
      </c>
      <c r="G31" s="141">
        <f>SUM(G32)</f>
        <v>0</v>
      </c>
      <c r="H31" s="141">
        <f>SUM(H32)</f>
        <v>400</v>
      </c>
    </row>
    <row r="32" spans="1:8" s="43" customFormat="1" ht="56.25">
      <c r="A32" s="133"/>
      <c r="B32" s="126"/>
      <c r="C32" s="127">
        <v>2010</v>
      </c>
      <c r="D32" s="132" t="s">
        <v>348</v>
      </c>
      <c r="E32" s="124">
        <v>400</v>
      </c>
      <c r="F32" s="148"/>
      <c r="G32" s="148"/>
      <c r="H32" s="148">
        <f>SUM(E32+F32-G32)</f>
        <v>400</v>
      </c>
    </row>
    <row r="33" spans="1:8" s="43" customFormat="1" ht="21.75" customHeight="1">
      <c r="A33" s="133"/>
      <c r="B33" s="126" t="s">
        <v>29</v>
      </c>
      <c r="C33" s="135"/>
      <c r="D33" s="132" t="s">
        <v>30</v>
      </c>
      <c r="E33" s="124">
        <f>SUM(E34:E35)</f>
        <v>3600</v>
      </c>
      <c r="F33" s="124">
        <f>SUM(F34:F35)</f>
        <v>0</v>
      </c>
      <c r="G33" s="124">
        <f>SUM(G34:G35)</f>
        <v>0</v>
      </c>
      <c r="H33" s="124">
        <f>SUM(H34:H35)</f>
        <v>3600</v>
      </c>
    </row>
    <row r="34" spans="1:8" s="43" customFormat="1" ht="24" customHeight="1">
      <c r="A34" s="133"/>
      <c r="B34" s="89"/>
      <c r="C34" s="127" t="s">
        <v>239</v>
      </c>
      <c r="D34" s="132" t="s">
        <v>31</v>
      </c>
      <c r="E34" s="124">
        <f>3500</f>
        <v>3500</v>
      </c>
      <c r="F34" s="148"/>
      <c r="G34" s="148"/>
      <c r="H34" s="148">
        <f>SUM(E34+F34-G34)</f>
        <v>3500</v>
      </c>
    </row>
    <row r="35" spans="1:8" s="43" customFormat="1" ht="21.75" customHeight="1">
      <c r="A35" s="133"/>
      <c r="B35" s="89"/>
      <c r="C35" s="127" t="s">
        <v>237</v>
      </c>
      <c r="D35" s="132" t="s">
        <v>14</v>
      </c>
      <c r="E35" s="124">
        <v>100</v>
      </c>
      <c r="F35" s="148"/>
      <c r="G35" s="148"/>
      <c r="H35" s="148">
        <f>SUM(E35+F35-G35)</f>
        <v>100</v>
      </c>
    </row>
    <row r="36" spans="1:8" s="8" customFormat="1" ht="60">
      <c r="A36" s="57" t="s">
        <v>32</v>
      </c>
      <c r="B36" s="4"/>
      <c r="C36" s="5"/>
      <c r="D36" s="58" t="s">
        <v>227</v>
      </c>
      <c r="E36" s="110">
        <f>SUM(E37,E40,E48,E60,E65,)</f>
        <v>17580618</v>
      </c>
      <c r="F36" s="110">
        <f>SUM(F37,F40,F48,F60,F65,)</f>
        <v>283240</v>
      </c>
      <c r="G36" s="110">
        <f>SUM(G37,G40,G48,G60,G65,)</f>
        <v>0</v>
      </c>
      <c r="H36" s="110">
        <f>SUM(H37,H40,H48,H60,H65,)</f>
        <v>17863858</v>
      </c>
    </row>
    <row r="37" spans="1:8" s="43" customFormat="1" ht="22.5">
      <c r="A37" s="125"/>
      <c r="B37" s="89">
        <v>75601</v>
      </c>
      <c r="C37" s="135"/>
      <c r="D37" s="132" t="s">
        <v>34</v>
      </c>
      <c r="E37" s="124">
        <f>SUM(E38:E39)</f>
        <v>45000</v>
      </c>
      <c r="F37" s="124">
        <f>SUM(F38:F39)</f>
        <v>0</v>
      </c>
      <c r="G37" s="124">
        <f>SUM(G38:G39)</f>
        <v>0</v>
      </c>
      <c r="H37" s="124">
        <f>SUM(H38:H39)</f>
        <v>45000</v>
      </c>
    </row>
    <row r="38" spans="1:8" s="43" customFormat="1" ht="37.5" customHeight="1">
      <c r="A38" s="125"/>
      <c r="B38" s="89"/>
      <c r="C38" s="134" t="s">
        <v>240</v>
      </c>
      <c r="D38" s="132" t="s">
        <v>35</v>
      </c>
      <c r="E38" s="124">
        <v>44000</v>
      </c>
      <c r="F38" s="148"/>
      <c r="G38" s="148"/>
      <c r="H38" s="148">
        <f aca="true" t="shared" si="3" ref="H38:H94">SUM(E38+F38-G38)</f>
        <v>44000</v>
      </c>
    </row>
    <row r="39" spans="1:8" s="43" customFormat="1" ht="22.5">
      <c r="A39" s="125"/>
      <c r="B39" s="89"/>
      <c r="C39" s="134" t="s">
        <v>241</v>
      </c>
      <c r="D39" s="132" t="s">
        <v>42</v>
      </c>
      <c r="E39" s="124">
        <v>1000</v>
      </c>
      <c r="F39" s="148"/>
      <c r="G39" s="148"/>
      <c r="H39" s="148">
        <f t="shared" si="3"/>
        <v>1000</v>
      </c>
    </row>
    <row r="40" spans="1:8" s="43" customFormat="1" ht="56.25">
      <c r="A40" s="125"/>
      <c r="B40" s="126" t="s">
        <v>36</v>
      </c>
      <c r="C40" s="135"/>
      <c r="D40" s="132" t="s">
        <v>289</v>
      </c>
      <c r="E40" s="124">
        <f>SUM(E41:E47)</f>
        <v>6677340</v>
      </c>
      <c r="F40" s="124">
        <f>SUM(F41:F47)</f>
        <v>143240</v>
      </c>
      <c r="G40" s="124">
        <f>SUM(G41:G47)</f>
        <v>0</v>
      </c>
      <c r="H40" s="124">
        <f>SUM(H41:H47)</f>
        <v>6820580</v>
      </c>
    </row>
    <row r="41" spans="1:8" s="43" customFormat="1" ht="21.75" customHeight="1">
      <c r="A41" s="125"/>
      <c r="B41" s="126"/>
      <c r="C41" s="127" t="s">
        <v>242</v>
      </c>
      <c r="D41" s="132" t="s">
        <v>37</v>
      </c>
      <c r="E41" s="124">
        <f>5996282+50000+40000</f>
        <v>6086282</v>
      </c>
      <c r="F41" s="148"/>
      <c r="G41" s="148"/>
      <c r="H41" s="148">
        <f t="shared" si="3"/>
        <v>6086282</v>
      </c>
    </row>
    <row r="42" spans="1:8" s="43" customFormat="1" ht="21.75" customHeight="1">
      <c r="A42" s="125"/>
      <c r="B42" s="126"/>
      <c r="C42" s="127" t="s">
        <v>243</v>
      </c>
      <c r="D42" s="132" t="s">
        <v>38</v>
      </c>
      <c r="E42" s="124">
        <v>26592</v>
      </c>
      <c r="F42" s="148"/>
      <c r="G42" s="148"/>
      <c r="H42" s="148">
        <f t="shared" si="3"/>
        <v>26592</v>
      </c>
    </row>
    <row r="43" spans="1:8" s="43" customFormat="1" ht="21.75" customHeight="1">
      <c r="A43" s="125"/>
      <c r="B43" s="126"/>
      <c r="C43" s="127" t="s">
        <v>244</v>
      </c>
      <c r="D43" s="132" t="s">
        <v>39</v>
      </c>
      <c r="E43" s="124">
        <v>304956</v>
      </c>
      <c r="F43" s="148"/>
      <c r="G43" s="148"/>
      <c r="H43" s="148">
        <f t="shared" si="3"/>
        <v>304956</v>
      </c>
    </row>
    <row r="44" spans="1:8" s="43" customFormat="1" ht="21.75" customHeight="1">
      <c r="A44" s="125"/>
      <c r="B44" s="126"/>
      <c r="C44" s="127" t="s">
        <v>245</v>
      </c>
      <c r="D44" s="132" t="s">
        <v>40</v>
      </c>
      <c r="E44" s="124">
        <v>38000</v>
      </c>
      <c r="F44" s="148"/>
      <c r="G44" s="148"/>
      <c r="H44" s="148">
        <f t="shared" si="3"/>
        <v>38000</v>
      </c>
    </row>
    <row r="45" spans="1:8" s="43" customFormat="1" ht="21.75" customHeight="1">
      <c r="A45" s="125"/>
      <c r="B45" s="126"/>
      <c r="C45" s="127" t="s">
        <v>252</v>
      </c>
      <c r="D45" s="132" t="s">
        <v>48</v>
      </c>
      <c r="E45" s="124">
        <v>40000</v>
      </c>
      <c r="F45" s="148"/>
      <c r="G45" s="148"/>
      <c r="H45" s="148">
        <f t="shared" si="3"/>
        <v>40000</v>
      </c>
    </row>
    <row r="46" spans="1:8" s="43" customFormat="1" ht="22.5">
      <c r="A46" s="125"/>
      <c r="B46" s="126"/>
      <c r="C46" s="122" t="s">
        <v>241</v>
      </c>
      <c r="D46" s="119" t="s">
        <v>324</v>
      </c>
      <c r="E46" s="136">
        <v>40000</v>
      </c>
      <c r="F46" s="148"/>
      <c r="G46" s="148"/>
      <c r="H46" s="148">
        <f t="shared" si="3"/>
        <v>40000</v>
      </c>
    </row>
    <row r="47" spans="1:8" s="43" customFormat="1" ht="33.75">
      <c r="A47" s="125"/>
      <c r="B47" s="126"/>
      <c r="C47" s="127">
        <v>2440</v>
      </c>
      <c r="D47" s="132" t="s">
        <v>271</v>
      </c>
      <c r="E47" s="124">
        <v>141510</v>
      </c>
      <c r="F47" s="148">
        <v>143240</v>
      </c>
      <c r="G47" s="148"/>
      <c r="H47" s="148">
        <f t="shared" si="3"/>
        <v>284750</v>
      </c>
    </row>
    <row r="48" spans="1:8" s="43" customFormat="1" ht="56.25">
      <c r="A48" s="125"/>
      <c r="B48" s="126">
        <v>75616</v>
      </c>
      <c r="C48" s="127"/>
      <c r="D48" s="132" t="s">
        <v>290</v>
      </c>
      <c r="E48" s="124">
        <f>SUM(E49:E59)</f>
        <v>3106003</v>
      </c>
      <c r="F48" s="124">
        <f>SUM(F49:F59)</f>
        <v>43000</v>
      </c>
      <c r="G48" s="124">
        <f>SUM(G49:G59)</f>
        <v>0</v>
      </c>
      <c r="H48" s="124">
        <f>SUM(H49:H59)</f>
        <v>3149003</v>
      </c>
    </row>
    <row r="49" spans="1:8" s="43" customFormat="1" ht="21.75" customHeight="1">
      <c r="A49" s="125"/>
      <c r="B49" s="126"/>
      <c r="C49" s="127" t="s">
        <v>242</v>
      </c>
      <c r="D49" s="132" t="s">
        <v>37</v>
      </c>
      <c r="E49" s="124">
        <f>2155845+30000+40000</f>
        <v>2225845</v>
      </c>
      <c r="F49" s="148"/>
      <c r="G49" s="148"/>
      <c r="H49" s="148">
        <f t="shared" si="3"/>
        <v>2225845</v>
      </c>
    </row>
    <row r="50" spans="1:8" s="43" customFormat="1" ht="21.75" customHeight="1">
      <c r="A50" s="125"/>
      <c r="B50" s="126"/>
      <c r="C50" s="127" t="s">
        <v>243</v>
      </c>
      <c r="D50" s="132" t="s">
        <v>38</v>
      </c>
      <c r="E50" s="124">
        <v>303853</v>
      </c>
      <c r="F50" s="148"/>
      <c r="G50" s="148"/>
      <c r="H50" s="148">
        <f t="shared" si="3"/>
        <v>303853</v>
      </c>
    </row>
    <row r="51" spans="1:8" s="43" customFormat="1" ht="21.75" customHeight="1">
      <c r="A51" s="125"/>
      <c r="B51" s="126"/>
      <c r="C51" s="127" t="s">
        <v>244</v>
      </c>
      <c r="D51" s="132" t="s">
        <v>39</v>
      </c>
      <c r="E51" s="124">
        <v>8305</v>
      </c>
      <c r="F51" s="148"/>
      <c r="G51" s="148"/>
      <c r="H51" s="148">
        <f t="shared" si="3"/>
        <v>8305</v>
      </c>
    </row>
    <row r="52" spans="1:8" s="43" customFormat="1" ht="21" customHeight="1">
      <c r="A52" s="125"/>
      <c r="B52" s="126"/>
      <c r="C52" s="127" t="s">
        <v>245</v>
      </c>
      <c r="D52" s="132" t="s">
        <v>40</v>
      </c>
      <c r="E52" s="124">
        <v>132000</v>
      </c>
      <c r="F52" s="148">
        <v>30000</v>
      </c>
      <c r="G52" s="148"/>
      <c r="H52" s="148">
        <f t="shared" si="3"/>
        <v>162000</v>
      </c>
    </row>
    <row r="53" spans="1:8" s="43" customFormat="1" ht="21.75" customHeight="1" hidden="1">
      <c r="A53" s="125"/>
      <c r="B53" s="126"/>
      <c r="C53" s="127" t="s">
        <v>246</v>
      </c>
      <c r="D53" s="132" t="s">
        <v>43</v>
      </c>
      <c r="E53" s="124">
        <v>0</v>
      </c>
      <c r="F53" s="148"/>
      <c r="G53" s="148"/>
      <c r="H53" s="148">
        <f t="shared" si="3"/>
        <v>0</v>
      </c>
    </row>
    <row r="54" spans="1:8" s="43" customFormat="1" ht="21.75" customHeight="1">
      <c r="A54" s="125"/>
      <c r="B54" s="126"/>
      <c r="C54" s="127" t="s">
        <v>247</v>
      </c>
      <c r="D54" s="132" t="s">
        <v>44</v>
      </c>
      <c r="E54" s="124">
        <v>12000</v>
      </c>
      <c r="F54" s="148"/>
      <c r="G54" s="148"/>
      <c r="H54" s="148">
        <f t="shared" si="3"/>
        <v>12000</v>
      </c>
    </row>
    <row r="55" spans="1:8" s="43" customFormat="1" ht="21.75" customHeight="1">
      <c r="A55" s="125"/>
      <c r="B55" s="126"/>
      <c r="C55" s="127" t="s">
        <v>248</v>
      </c>
      <c r="D55" s="132" t="s">
        <v>45</v>
      </c>
      <c r="E55" s="124">
        <v>58000</v>
      </c>
      <c r="F55" s="148">
        <v>13000</v>
      </c>
      <c r="G55" s="148"/>
      <c r="H55" s="148">
        <f t="shared" si="3"/>
        <v>71000</v>
      </c>
    </row>
    <row r="56" spans="1:8" s="43" customFormat="1" ht="21.75" customHeight="1">
      <c r="A56" s="125"/>
      <c r="B56" s="126"/>
      <c r="C56" s="127" t="s">
        <v>249</v>
      </c>
      <c r="D56" s="132" t="s">
        <v>46</v>
      </c>
      <c r="E56" s="124">
        <v>1000</v>
      </c>
      <c r="F56" s="148"/>
      <c r="G56" s="148"/>
      <c r="H56" s="148">
        <f t="shared" si="3"/>
        <v>1000</v>
      </c>
    </row>
    <row r="57" spans="1:8" s="43" customFormat="1" ht="22.5">
      <c r="A57" s="125"/>
      <c r="B57" s="126"/>
      <c r="C57" s="127" t="s">
        <v>250</v>
      </c>
      <c r="D57" s="132" t="s">
        <v>47</v>
      </c>
      <c r="E57" s="124">
        <v>2000</v>
      </c>
      <c r="F57" s="148"/>
      <c r="G57" s="148"/>
      <c r="H57" s="148">
        <f t="shared" si="3"/>
        <v>2000</v>
      </c>
    </row>
    <row r="58" spans="1:8" s="43" customFormat="1" ht="21.75" customHeight="1">
      <c r="A58" s="125"/>
      <c r="B58" s="126"/>
      <c r="C58" s="127" t="s">
        <v>252</v>
      </c>
      <c r="D58" s="132" t="s">
        <v>48</v>
      </c>
      <c r="E58" s="124">
        <v>300000</v>
      </c>
      <c r="F58" s="148"/>
      <c r="G58" s="148"/>
      <c r="H58" s="148">
        <f t="shared" si="3"/>
        <v>300000</v>
      </c>
    </row>
    <row r="59" spans="1:8" s="43" customFormat="1" ht="21.75" customHeight="1">
      <c r="A59" s="125"/>
      <c r="B59" s="126"/>
      <c r="C59" s="127" t="s">
        <v>241</v>
      </c>
      <c r="D59" s="132" t="s">
        <v>324</v>
      </c>
      <c r="E59" s="124">
        <v>63000</v>
      </c>
      <c r="F59" s="148"/>
      <c r="G59" s="148"/>
      <c r="H59" s="148">
        <f t="shared" si="3"/>
        <v>63000</v>
      </c>
    </row>
    <row r="60" spans="1:8" s="43" customFormat="1" ht="39" customHeight="1">
      <c r="A60" s="125"/>
      <c r="B60" s="126" t="s">
        <v>49</v>
      </c>
      <c r="C60" s="135"/>
      <c r="D60" s="132" t="s">
        <v>50</v>
      </c>
      <c r="E60" s="124">
        <f>SUM(E61:E64)</f>
        <v>554000</v>
      </c>
      <c r="F60" s="124">
        <f>SUM(F61:F64)</f>
        <v>0</v>
      </c>
      <c r="G60" s="124">
        <f>SUM(G61:G64)</f>
        <v>0</v>
      </c>
      <c r="H60" s="124">
        <f>SUM(H61:H64)</f>
        <v>554000</v>
      </c>
    </row>
    <row r="61" spans="1:8" s="43" customFormat="1" ht="21.75" customHeight="1">
      <c r="A61" s="125"/>
      <c r="B61" s="126"/>
      <c r="C61" s="127" t="s">
        <v>253</v>
      </c>
      <c r="D61" s="132" t="s">
        <v>51</v>
      </c>
      <c r="E61" s="124">
        <v>220000</v>
      </c>
      <c r="F61" s="148"/>
      <c r="G61" s="148"/>
      <c r="H61" s="148">
        <f t="shared" si="3"/>
        <v>220000</v>
      </c>
    </row>
    <row r="62" spans="1:8" s="43" customFormat="1" ht="21.75" customHeight="1">
      <c r="A62" s="125"/>
      <c r="B62" s="126"/>
      <c r="C62" s="127" t="s">
        <v>251</v>
      </c>
      <c r="D62" s="132" t="s">
        <v>41</v>
      </c>
      <c r="E62" s="124">
        <v>14000</v>
      </c>
      <c r="F62" s="148"/>
      <c r="G62" s="148"/>
      <c r="H62" s="148">
        <f t="shared" si="3"/>
        <v>14000</v>
      </c>
    </row>
    <row r="63" spans="1:8" s="43" customFormat="1" ht="22.5">
      <c r="A63" s="125"/>
      <c r="B63" s="126"/>
      <c r="C63" s="127" t="s">
        <v>257</v>
      </c>
      <c r="D63" s="132" t="s">
        <v>66</v>
      </c>
      <c r="E63" s="124">
        <v>280000</v>
      </c>
      <c r="F63" s="148"/>
      <c r="G63" s="148"/>
      <c r="H63" s="148">
        <f t="shared" si="3"/>
        <v>280000</v>
      </c>
    </row>
    <row r="64" spans="1:8" s="43" customFormat="1" ht="45">
      <c r="A64" s="125"/>
      <c r="B64" s="126"/>
      <c r="C64" s="127" t="s">
        <v>234</v>
      </c>
      <c r="D64" s="132" t="s">
        <v>7</v>
      </c>
      <c r="E64" s="124">
        <v>40000</v>
      </c>
      <c r="F64" s="148"/>
      <c r="G64" s="148"/>
      <c r="H64" s="148">
        <f t="shared" si="3"/>
        <v>40000</v>
      </c>
    </row>
    <row r="65" spans="1:8" s="43" customFormat="1" ht="22.5">
      <c r="A65" s="125"/>
      <c r="B65" s="126" t="s">
        <v>52</v>
      </c>
      <c r="C65" s="135"/>
      <c r="D65" s="132" t="s">
        <v>53</v>
      </c>
      <c r="E65" s="124">
        <f>SUM(E66:E67)</f>
        <v>7198275</v>
      </c>
      <c r="F65" s="124">
        <f>SUM(F66:F67)</f>
        <v>97000</v>
      </c>
      <c r="G65" s="124">
        <f>SUM(G66:G67)</f>
        <v>0</v>
      </c>
      <c r="H65" s="124">
        <f>SUM(H66:H67)</f>
        <v>7295275</v>
      </c>
    </row>
    <row r="66" spans="1:8" s="43" customFormat="1" ht="21.75" customHeight="1">
      <c r="A66" s="125"/>
      <c r="B66" s="126"/>
      <c r="C66" s="127" t="s">
        <v>254</v>
      </c>
      <c r="D66" s="132" t="s">
        <v>54</v>
      </c>
      <c r="E66" s="124">
        <v>6620275</v>
      </c>
      <c r="F66" s="148"/>
      <c r="G66" s="148"/>
      <c r="H66" s="148">
        <f t="shared" si="3"/>
        <v>6620275</v>
      </c>
    </row>
    <row r="67" spans="1:8" s="43" customFormat="1" ht="21.75" customHeight="1">
      <c r="A67" s="125"/>
      <c r="B67" s="126"/>
      <c r="C67" s="127" t="s">
        <v>255</v>
      </c>
      <c r="D67" s="132" t="s">
        <v>55</v>
      </c>
      <c r="E67" s="124">
        <f>528000+50000</f>
        <v>578000</v>
      </c>
      <c r="F67" s="148">
        <v>97000</v>
      </c>
      <c r="G67" s="148"/>
      <c r="H67" s="148">
        <f t="shared" si="3"/>
        <v>675000</v>
      </c>
    </row>
    <row r="68" spans="1:8" s="8" customFormat="1" ht="24.75" customHeight="1">
      <c r="A68" s="57" t="s">
        <v>56</v>
      </c>
      <c r="B68" s="4"/>
      <c r="C68" s="5"/>
      <c r="D68" s="58" t="s">
        <v>57</v>
      </c>
      <c r="E68" s="110">
        <f>SUM(E69,E71,E73,E75)</f>
        <v>13918997</v>
      </c>
      <c r="F68" s="110">
        <f>SUM(F69,F71,F73,F75)</f>
        <v>0</v>
      </c>
      <c r="G68" s="110">
        <f>SUM(G69,G71,G73,G75)</f>
        <v>0</v>
      </c>
      <c r="H68" s="110">
        <f>SUM(H69,H71,H73,H75)</f>
        <v>13918997</v>
      </c>
    </row>
    <row r="69" spans="1:8" s="43" customFormat="1" ht="22.5">
      <c r="A69" s="125"/>
      <c r="B69" s="126" t="s">
        <v>58</v>
      </c>
      <c r="C69" s="135"/>
      <c r="D69" s="132" t="s">
        <v>59</v>
      </c>
      <c r="E69" s="124">
        <f>SUM(E70)</f>
        <v>10347873</v>
      </c>
      <c r="F69" s="124">
        <f>SUM(F70)</f>
        <v>0</v>
      </c>
      <c r="G69" s="124">
        <f>SUM(G70)</f>
        <v>0</v>
      </c>
      <c r="H69" s="124">
        <f>SUM(H70)</f>
        <v>10347873</v>
      </c>
    </row>
    <row r="70" spans="1:8" s="43" customFormat="1" ht="24" customHeight="1">
      <c r="A70" s="125"/>
      <c r="B70" s="126"/>
      <c r="C70" s="127">
        <v>2920</v>
      </c>
      <c r="D70" s="132" t="s">
        <v>60</v>
      </c>
      <c r="E70" s="124">
        <v>10347873</v>
      </c>
      <c r="F70" s="148"/>
      <c r="G70" s="148"/>
      <c r="H70" s="148">
        <f t="shared" si="3"/>
        <v>10347873</v>
      </c>
    </row>
    <row r="71" spans="1:8" s="43" customFormat="1" ht="21.75" customHeight="1">
      <c r="A71" s="125"/>
      <c r="B71" s="126" t="s">
        <v>273</v>
      </c>
      <c r="C71" s="135"/>
      <c r="D71" s="132" t="s">
        <v>272</v>
      </c>
      <c r="E71" s="124">
        <f>SUM(E72)</f>
        <v>2703600</v>
      </c>
      <c r="F71" s="124">
        <f>SUM(F72)</f>
        <v>0</v>
      </c>
      <c r="G71" s="124">
        <f>SUM(G72)</f>
        <v>0</v>
      </c>
      <c r="H71" s="124">
        <f>SUM(H72)</f>
        <v>2703600</v>
      </c>
    </row>
    <row r="72" spans="1:8" s="43" customFormat="1" ht="25.5" customHeight="1">
      <c r="A72" s="125"/>
      <c r="B72" s="126"/>
      <c r="C72" s="127">
        <v>2920</v>
      </c>
      <c r="D72" s="132" t="s">
        <v>60</v>
      </c>
      <c r="E72" s="124">
        <v>2703600</v>
      </c>
      <c r="F72" s="148"/>
      <c r="G72" s="148"/>
      <c r="H72" s="148">
        <f t="shared" si="3"/>
        <v>2703600</v>
      </c>
    </row>
    <row r="73" spans="1:8" s="43" customFormat="1" ht="21" customHeight="1">
      <c r="A73" s="125"/>
      <c r="B73" s="126">
        <v>75814</v>
      </c>
      <c r="C73" s="135"/>
      <c r="D73" s="132" t="s">
        <v>61</v>
      </c>
      <c r="E73" s="124">
        <f>SUM(E74)</f>
        <v>5000</v>
      </c>
      <c r="F73" s="124">
        <f>SUM(F74)</f>
        <v>0</v>
      </c>
      <c r="G73" s="124">
        <f>SUM(G74)</f>
        <v>0</v>
      </c>
      <c r="H73" s="124">
        <f>SUM(H74)</f>
        <v>5000</v>
      </c>
    </row>
    <row r="74" spans="1:8" s="43" customFormat="1" ht="21.75" customHeight="1">
      <c r="A74" s="125"/>
      <c r="B74" s="126"/>
      <c r="C74" s="127" t="s">
        <v>237</v>
      </c>
      <c r="D74" s="132" t="s">
        <v>14</v>
      </c>
      <c r="E74" s="124">
        <v>5000</v>
      </c>
      <c r="F74" s="148"/>
      <c r="G74" s="148"/>
      <c r="H74" s="148">
        <f t="shared" si="3"/>
        <v>5000</v>
      </c>
    </row>
    <row r="75" spans="1:8" s="43" customFormat="1" ht="20.25" customHeight="1">
      <c r="A75" s="125"/>
      <c r="B75" s="126" t="s">
        <v>351</v>
      </c>
      <c r="C75" s="135"/>
      <c r="D75" s="132" t="s">
        <v>352</v>
      </c>
      <c r="E75" s="124">
        <f>SUM(E76)</f>
        <v>862524</v>
      </c>
      <c r="F75" s="124">
        <f>SUM(F76)</f>
        <v>0</v>
      </c>
      <c r="G75" s="124">
        <f>SUM(G76)</f>
        <v>0</v>
      </c>
      <c r="H75" s="124">
        <f>SUM(H76)</f>
        <v>862524</v>
      </c>
    </row>
    <row r="76" spans="1:8" s="43" customFormat="1" ht="25.5" customHeight="1">
      <c r="A76" s="125"/>
      <c r="B76" s="126"/>
      <c r="C76" s="127">
        <v>2920</v>
      </c>
      <c r="D76" s="132" t="s">
        <v>60</v>
      </c>
      <c r="E76" s="124">
        <v>862524</v>
      </c>
      <c r="F76" s="148"/>
      <c r="G76" s="148"/>
      <c r="H76" s="148">
        <f>SUM(E76+F76-G76)</f>
        <v>862524</v>
      </c>
    </row>
    <row r="77" spans="1:8" s="8" customFormat="1" ht="24.75" customHeight="1">
      <c r="A77" s="57" t="s">
        <v>229</v>
      </c>
      <c r="B77" s="4"/>
      <c r="C77" s="5"/>
      <c r="D77" s="58" t="s">
        <v>276</v>
      </c>
      <c r="E77" s="110">
        <f>SUM(E78,E82,E84,E87,E90,E80)</f>
        <v>7108846</v>
      </c>
      <c r="F77" s="110">
        <f>SUM(F78,F82,F84,F87,F90,F80)</f>
        <v>5507000</v>
      </c>
      <c r="G77" s="110">
        <f>SUM(G78,G82,G84,G87,G90,G80)</f>
        <v>5507000</v>
      </c>
      <c r="H77" s="110">
        <f>SUM(H78,H82,H84,H87,H90,H80)</f>
        <v>7108846</v>
      </c>
    </row>
    <row r="78" spans="1:8" s="43" customFormat="1" ht="33.75" hidden="1">
      <c r="A78" s="125"/>
      <c r="B78" s="89">
        <v>85212</v>
      </c>
      <c r="C78" s="134"/>
      <c r="D78" s="132" t="s">
        <v>320</v>
      </c>
      <c r="E78" s="124">
        <f>SUM(E79)</f>
        <v>5507000</v>
      </c>
      <c r="F78" s="124">
        <f>SUM(F79)</f>
        <v>0</v>
      </c>
      <c r="G78" s="124">
        <f>SUM(G79)</f>
        <v>5507000</v>
      </c>
      <c r="H78" s="124">
        <f>SUM(H79)</f>
        <v>0</v>
      </c>
    </row>
    <row r="79" spans="1:8" s="43" customFormat="1" ht="56.25" hidden="1">
      <c r="A79" s="125"/>
      <c r="B79" s="89"/>
      <c r="C79" s="134">
        <v>2010</v>
      </c>
      <c r="D79" s="132" t="s">
        <v>348</v>
      </c>
      <c r="E79" s="124">
        <v>5507000</v>
      </c>
      <c r="F79" s="148"/>
      <c r="G79" s="148">
        <v>5507000</v>
      </c>
      <c r="H79" s="148">
        <f t="shared" si="3"/>
        <v>0</v>
      </c>
    </row>
    <row r="80" spans="1:8" s="43" customFormat="1" ht="45.75" customHeight="1">
      <c r="A80" s="125"/>
      <c r="B80" s="89">
        <v>85212</v>
      </c>
      <c r="C80" s="134"/>
      <c r="D80" s="132" t="s">
        <v>448</v>
      </c>
      <c r="E80" s="124">
        <f>SUM(E81)</f>
        <v>0</v>
      </c>
      <c r="F80" s="124">
        <f>SUM(F81)</f>
        <v>5507000</v>
      </c>
      <c r="G80" s="124">
        <f>SUM(G81)</f>
        <v>0</v>
      </c>
      <c r="H80" s="124">
        <f>SUM(H81)</f>
        <v>5507000</v>
      </c>
    </row>
    <row r="81" spans="1:8" s="43" customFormat="1" ht="56.25">
      <c r="A81" s="125"/>
      <c r="B81" s="89"/>
      <c r="C81" s="134">
        <v>2010</v>
      </c>
      <c r="D81" s="132" t="s">
        <v>348</v>
      </c>
      <c r="E81" s="124">
        <v>0</v>
      </c>
      <c r="F81" s="148">
        <v>5507000</v>
      </c>
      <c r="G81" s="148"/>
      <c r="H81" s="148">
        <f t="shared" si="3"/>
        <v>5507000</v>
      </c>
    </row>
    <row r="82" spans="1:8" s="43" customFormat="1" ht="56.25">
      <c r="A82" s="125"/>
      <c r="B82" s="89">
        <v>85213</v>
      </c>
      <c r="C82" s="135"/>
      <c r="D82" s="132" t="s">
        <v>325</v>
      </c>
      <c r="E82" s="124">
        <f>SUM(E83)</f>
        <v>74700</v>
      </c>
      <c r="F82" s="124">
        <f>SUM(F83)</f>
        <v>0</v>
      </c>
      <c r="G82" s="124">
        <f>SUM(G83)</f>
        <v>0</v>
      </c>
      <c r="H82" s="124">
        <f>SUM(H83)</f>
        <v>74700</v>
      </c>
    </row>
    <row r="83" spans="1:8" s="43" customFormat="1" ht="56.25">
      <c r="A83" s="125"/>
      <c r="B83" s="89"/>
      <c r="C83" s="135">
        <v>2010</v>
      </c>
      <c r="D83" s="132" t="s">
        <v>348</v>
      </c>
      <c r="E83" s="124">
        <v>74700</v>
      </c>
      <c r="F83" s="148"/>
      <c r="G83" s="148"/>
      <c r="H83" s="148">
        <f t="shared" si="3"/>
        <v>74700</v>
      </c>
    </row>
    <row r="84" spans="1:8" s="43" customFormat="1" ht="26.25" customHeight="1">
      <c r="A84" s="125"/>
      <c r="B84" s="126" t="s">
        <v>230</v>
      </c>
      <c r="C84" s="135"/>
      <c r="D84" s="132" t="s">
        <v>68</v>
      </c>
      <c r="E84" s="124">
        <f>SUM(E85:E86)</f>
        <v>1005400</v>
      </c>
      <c r="F84" s="124">
        <f>SUM(F85:F86)</f>
        <v>0</v>
      </c>
      <c r="G84" s="124">
        <f>SUM(G85:G86)</f>
        <v>0</v>
      </c>
      <c r="H84" s="124">
        <f>SUM(H85:H86)</f>
        <v>1005400</v>
      </c>
    </row>
    <row r="85" spans="1:8" s="43" customFormat="1" ht="56.25">
      <c r="A85" s="125"/>
      <c r="B85" s="126"/>
      <c r="C85" s="127">
        <v>2010</v>
      </c>
      <c r="D85" s="132" t="s">
        <v>348</v>
      </c>
      <c r="E85" s="124">
        <v>569300</v>
      </c>
      <c r="F85" s="148"/>
      <c r="G85" s="148"/>
      <c r="H85" s="148">
        <f t="shared" si="3"/>
        <v>569300</v>
      </c>
    </row>
    <row r="86" spans="1:8" s="43" customFormat="1" ht="33.75">
      <c r="A86" s="125"/>
      <c r="B86" s="126"/>
      <c r="C86" s="127">
        <v>2030</v>
      </c>
      <c r="D86" s="132" t="s">
        <v>349</v>
      </c>
      <c r="E86" s="124">
        <v>436100</v>
      </c>
      <c r="F86" s="148"/>
      <c r="G86" s="148"/>
      <c r="H86" s="148">
        <f t="shared" si="3"/>
        <v>436100</v>
      </c>
    </row>
    <row r="87" spans="1:8" s="43" customFormat="1" ht="24.75" customHeight="1">
      <c r="A87" s="125"/>
      <c r="B87" s="126" t="s">
        <v>231</v>
      </c>
      <c r="C87" s="135"/>
      <c r="D87" s="132" t="s">
        <v>70</v>
      </c>
      <c r="E87" s="124">
        <f>SUM(E88:E89)</f>
        <v>380200</v>
      </c>
      <c r="F87" s="124">
        <f>SUM(F88:F89)</f>
        <v>0</v>
      </c>
      <c r="G87" s="124">
        <f>SUM(G88:G89)</f>
        <v>0</v>
      </c>
      <c r="H87" s="124">
        <f>SUM(H88:H89)</f>
        <v>380200</v>
      </c>
    </row>
    <row r="88" spans="1:8" s="43" customFormat="1" ht="22.5" customHeight="1">
      <c r="A88" s="125"/>
      <c r="B88" s="126"/>
      <c r="C88" s="134" t="s">
        <v>298</v>
      </c>
      <c r="D88" s="132" t="s">
        <v>299</v>
      </c>
      <c r="E88" s="124">
        <v>68000</v>
      </c>
      <c r="F88" s="148"/>
      <c r="G88" s="148"/>
      <c r="H88" s="148">
        <f t="shared" si="3"/>
        <v>68000</v>
      </c>
    </row>
    <row r="89" spans="1:8" s="43" customFormat="1" ht="33.75">
      <c r="A89" s="125"/>
      <c r="B89" s="126"/>
      <c r="C89" s="127">
        <v>2030</v>
      </c>
      <c r="D89" s="132" t="s">
        <v>349</v>
      </c>
      <c r="E89" s="124">
        <v>312200</v>
      </c>
      <c r="F89" s="148"/>
      <c r="G89" s="148"/>
      <c r="H89" s="148">
        <f t="shared" si="3"/>
        <v>312200</v>
      </c>
    </row>
    <row r="90" spans="1:8" s="43" customFormat="1" ht="24" customHeight="1">
      <c r="A90" s="125"/>
      <c r="B90" s="126">
        <v>85295</v>
      </c>
      <c r="C90" s="127"/>
      <c r="D90" s="132" t="s">
        <v>329</v>
      </c>
      <c r="E90" s="124">
        <f>SUM(E91)</f>
        <v>141546</v>
      </c>
      <c r="F90" s="124">
        <f>SUM(F91)</f>
        <v>0</v>
      </c>
      <c r="G90" s="124">
        <f>SUM(G91)</f>
        <v>0</v>
      </c>
      <c r="H90" s="124">
        <f>SUM(H91)</f>
        <v>141546</v>
      </c>
    </row>
    <row r="91" spans="1:8" s="43" customFormat="1" ht="33.75">
      <c r="A91" s="125"/>
      <c r="B91" s="126"/>
      <c r="C91" s="127">
        <v>2030</v>
      </c>
      <c r="D91" s="132" t="s">
        <v>349</v>
      </c>
      <c r="E91" s="124">
        <v>141546</v>
      </c>
      <c r="F91" s="148"/>
      <c r="G91" s="148"/>
      <c r="H91" s="148">
        <f t="shared" si="3"/>
        <v>141546</v>
      </c>
    </row>
    <row r="92" spans="1:8" s="9" customFormat="1" ht="24.75" customHeight="1">
      <c r="A92" s="57">
        <v>900</v>
      </c>
      <c r="B92" s="60"/>
      <c r="C92" s="61"/>
      <c r="D92" s="58" t="s">
        <v>73</v>
      </c>
      <c r="E92" s="110">
        <f>SUM(E93,E95)</f>
        <v>11000</v>
      </c>
      <c r="F92" s="110">
        <f>SUM(F93,F95)</f>
        <v>0</v>
      </c>
      <c r="G92" s="110">
        <f>SUM(G93,G95)</f>
        <v>0</v>
      </c>
      <c r="H92" s="110">
        <f>SUM(H93,H95)</f>
        <v>11000</v>
      </c>
    </row>
    <row r="93" spans="1:8" s="43" customFormat="1" ht="21.75" customHeight="1">
      <c r="A93" s="125"/>
      <c r="B93" s="126">
        <v>90001</v>
      </c>
      <c r="C93" s="127"/>
      <c r="D93" s="132" t="s">
        <v>74</v>
      </c>
      <c r="E93" s="124">
        <f>SUM(E94:E94)</f>
        <v>5000</v>
      </c>
      <c r="F93" s="124">
        <f>SUM(F94:F94)</f>
        <v>0</v>
      </c>
      <c r="G93" s="124">
        <f>SUM(G94:G94)</f>
        <v>0</v>
      </c>
      <c r="H93" s="124">
        <f>SUM(H94:H94)</f>
        <v>5000</v>
      </c>
    </row>
    <row r="94" spans="1:8" s="43" customFormat="1" ht="18.75" customHeight="1">
      <c r="A94" s="125"/>
      <c r="B94" s="126"/>
      <c r="C94" s="127" t="s">
        <v>238</v>
      </c>
      <c r="D94" s="132" t="s">
        <v>15</v>
      </c>
      <c r="E94" s="124">
        <v>5000</v>
      </c>
      <c r="F94" s="148"/>
      <c r="G94" s="148"/>
      <c r="H94" s="148">
        <f t="shared" si="3"/>
        <v>5000</v>
      </c>
    </row>
    <row r="95" spans="1:8" s="43" customFormat="1" ht="21.75" customHeight="1">
      <c r="A95" s="125"/>
      <c r="B95" s="126">
        <v>90095</v>
      </c>
      <c r="C95" s="127"/>
      <c r="D95" s="132" t="s">
        <v>6</v>
      </c>
      <c r="E95" s="124">
        <f>SUM(E96)</f>
        <v>6000</v>
      </c>
      <c r="F95" s="124">
        <f>SUM(F96)</f>
        <v>0</v>
      </c>
      <c r="G95" s="124">
        <f>SUM(G96)</f>
        <v>0</v>
      </c>
      <c r="H95" s="124">
        <f>SUM(H96)</f>
        <v>6000</v>
      </c>
    </row>
    <row r="96" spans="1:8" s="43" customFormat="1" ht="23.25" customHeight="1">
      <c r="A96" s="125"/>
      <c r="B96" s="126"/>
      <c r="C96" s="127" t="s">
        <v>256</v>
      </c>
      <c r="D96" s="132" t="s">
        <v>75</v>
      </c>
      <c r="E96" s="124">
        <v>6000</v>
      </c>
      <c r="F96" s="148"/>
      <c r="G96" s="148"/>
      <c r="H96" s="148">
        <f>SUM(E96+F96-G96)</f>
        <v>6000</v>
      </c>
    </row>
    <row r="97" spans="1:8" s="9" customFormat="1" ht="24">
      <c r="A97" s="57" t="s">
        <v>76</v>
      </c>
      <c r="B97" s="4"/>
      <c r="C97" s="5"/>
      <c r="D97" s="58" t="s">
        <v>82</v>
      </c>
      <c r="E97" s="110">
        <f aca="true" t="shared" si="4" ref="E97:H98">SUM(E98)</f>
        <v>45000</v>
      </c>
      <c r="F97" s="110">
        <f t="shared" si="4"/>
        <v>0</v>
      </c>
      <c r="G97" s="110">
        <f t="shared" si="4"/>
        <v>0</v>
      </c>
      <c r="H97" s="110">
        <f t="shared" si="4"/>
        <v>45000</v>
      </c>
    </row>
    <row r="98" spans="1:8" s="43" customFormat="1" ht="21.75" customHeight="1">
      <c r="A98" s="125"/>
      <c r="B98" s="126" t="s">
        <v>77</v>
      </c>
      <c r="C98" s="135"/>
      <c r="D98" s="132" t="s">
        <v>78</v>
      </c>
      <c r="E98" s="124">
        <f t="shared" si="4"/>
        <v>45000</v>
      </c>
      <c r="F98" s="124">
        <f t="shared" si="4"/>
        <v>0</v>
      </c>
      <c r="G98" s="124">
        <f t="shared" si="4"/>
        <v>0</v>
      </c>
      <c r="H98" s="124">
        <f t="shared" si="4"/>
        <v>45000</v>
      </c>
    </row>
    <row r="99" spans="1:8" s="43" customFormat="1" ht="45">
      <c r="A99" s="126"/>
      <c r="B99" s="126"/>
      <c r="C99" s="127">
        <v>2320</v>
      </c>
      <c r="D99" s="132" t="s">
        <v>350</v>
      </c>
      <c r="E99" s="124">
        <v>45000</v>
      </c>
      <c r="F99" s="148"/>
      <c r="G99" s="148"/>
      <c r="H99" s="148">
        <f>SUM(E99+F99-G99)</f>
        <v>45000</v>
      </c>
    </row>
    <row r="100" spans="1:8" ht="26.25" customHeight="1">
      <c r="A100" s="24"/>
      <c r="B100" s="25"/>
      <c r="C100" s="26"/>
      <c r="D100" s="27" t="s">
        <v>81</v>
      </c>
      <c r="E100" s="110">
        <f>SUM(E9,E12,E15,E21,E27,E30,E36,E68,E77,E92,E97)</f>
        <v>40289741</v>
      </c>
      <c r="F100" s="110">
        <f>SUM(F9,F12,F15,F21,F27,F30,F36,F68,F77,F92,F97)</f>
        <v>5800240</v>
      </c>
      <c r="G100" s="110">
        <f>SUM(G9,G12,G15,G21,G27,G30,G36,G68,G77,G92,G97)</f>
        <v>5507100</v>
      </c>
      <c r="H100" s="110">
        <f>SUM(H9,H12,H15,H21,H27,H30,H36,H68,H77,H92,H97)</f>
        <v>40582881</v>
      </c>
    </row>
    <row r="102" spans="4:7" ht="12.75">
      <c r="D102" s="190"/>
      <c r="G102" s="91">
        <f>SUM(F100-G100)</f>
        <v>293140</v>
      </c>
    </row>
    <row r="103" ht="12.75">
      <c r="D103" s="190"/>
    </row>
    <row r="104" ht="12.75">
      <c r="D104" s="190"/>
    </row>
    <row r="105" spans="4:7" ht="12.75">
      <c r="D105" s="190"/>
      <c r="G105" s="176"/>
    </row>
    <row r="106" ht="12.75">
      <c r="D106" s="190"/>
    </row>
    <row r="107" ht="12.75">
      <c r="D107" s="190"/>
    </row>
    <row r="108" ht="12.75">
      <c r="D108" s="190"/>
    </row>
    <row r="109" ht="12.75">
      <c r="D109" s="190"/>
    </row>
    <row r="110" ht="12.75">
      <c r="D110" s="190"/>
    </row>
    <row r="111" spans="4:8" ht="12.75">
      <c r="D111" s="190"/>
      <c r="H111" s="91"/>
    </row>
    <row r="112" ht="12.75">
      <c r="D112" s="190"/>
    </row>
    <row r="113" ht="12.75">
      <c r="D113" s="190"/>
    </row>
    <row r="114" ht="12.75">
      <c r="D114" s="190"/>
    </row>
    <row r="115" ht="12.75">
      <c r="D115" s="189"/>
    </row>
    <row r="128" ht="12.75">
      <c r="E128" s="98"/>
    </row>
    <row r="129" ht="12.75">
      <c r="E129" s="98"/>
    </row>
  </sheetData>
  <mergeCells count="1">
    <mergeCell ref="A6:D6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&amp;C&amp;8Dochody - str.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39">
      <selection activeCell="H54" sqref="H54"/>
    </sheetView>
  </sheetViews>
  <sheetFormatPr defaultColWidth="9.00390625" defaultRowHeight="12.75"/>
  <cols>
    <col min="1" max="1" width="5.375" style="9" customWidth="1"/>
    <col min="2" max="2" width="7.375" style="9" customWidth="1"/>
    <col min="3" max="3" width="5.00390625" style="9" customWidth="1"/>
    <col min="4" max="4" width="33.375" style="9" customWidth="1"/>
    <col min="5" max="6" width="11.00390625" style="0" hidden="1" customWidth="1"/>
    <col min="7" max="7" width="11.625" style="0" hidden="1" customWidth="1"/>
    <col min="8" max="8" width="20.125" style="0" customWidth="1"/>
  </cols>
  <sheetData>
    <row r="1" spans="5:8" ht="12">
      <c r="E1" s="107"/>
      <c r="F1" s="107"/>
      <c r="H1" s="107" t="s">
        <v>283</v>
      </c>
    </row>
    <row r="2" spans="5:8" ht="12">
      <c r="E2" s="107"/>
      <c r="F2" s="107"/>
      <c r="H2" s="107" t="s">
        <v>474</v>
      </c>
    </row>
    <row r="3" spans="5:8" ht="12">
      <c r="E3" s="107"/>
      <c r="F3" s="107"/>
      <c r="H3" s="107" t="s">
        <v>192</v>
      </c>
    </row>
    <row r="4" spans="5:8" ht="12">
      <c r="E4" s="107"/>
      <c r="F4" s="107"/>
      <c r="H4" s="107" t="s">
        <v>475</v>
      </c>
    </row>
    <row r="5" spans="1:4" ht="66.75" customHeight="1">
      <c r="A5" s="415" t="s">
        <v>421</v>
      </c>
      <c r="B5" s="415"/>
      <c r="C5" s="415"/>
      <c r="D5" s="415"/>
    </row>
    <row r="6" spans="1:4" ht="14.25" customHeight="1">
      <c r="A6" s="229"/>
      <c r="B6" s="229"/>
      <c r="C6" s="229"/>
      <c r="D6" s="229"/>
    </row>
    <row r="7" spans="1:4" ht="32.25" customHeight="1">
      <c r="A7" s="416" t="s">
        <v>422</v>
      </c>
      <c r="B7" s="416"/>
      <c r="C7" s="416"/>
      <c r="D7" s="416"/>
    </row>
    <row r="8" spans="1:8" s="230" customFormat="1" ht="24.75" customHeight="1">
      <c r="A8" s="2" t="s">
        <v>0</v>
      </c>
      <c r="B8" s="2" t="s">
        <v>1</v>
      </c>
      <c r="C8" s="2" t="s">
        <v>2</v>
      </c>
      <c r="D8" s="2" t="s">
        <v>3</v>
      </c>
      <c r="E8" s="202" t="s">
        <v>165</v>
      </c>
      <c r="F8" s="2" t="s">
        <v>304</v>
      </c>
      <c r="G8" s="2" t="s">
        <v>305</v>
      </c>
      <c r="H8" s="202" t="s">
        <v>168</v>
      </c>
    </row>
    <row r="9" spans="1:8" s="49" customFormat="1" ht="36">
      <c r="A9" s="2">
        <v>756</v>
      </c>
      <c r="B9" s="2"/>
      <c r="C9" s="2"/>
      <c r="D9" s="79" t="s">
        <v>33</v>
      </c>
      <c r="E9" s="59">
        <f aca="true" t="shared" si="0" ref="E9:H10">SUM(E10)</f>
        <v>280000</v>
      </c>
      <c r="F9" s="59">
        <f t="shared" si="0"/>
        <v>0</v>
      </c>
      <c r="G9" s="59">
        <f t="shared" si="0"/>
        <v>0</v>
      </c>
      <c r="H9" s="59">
        <f t="shared" si="0"/>
        <v>280000</v>
      </c>
    </row>
    <row r="10" spans="1:8" s="234" customFormat="1" ht="36">
      <c r="A10" s="101"/>
      <c r="B10" s="89">
        <v>75618</v>
      </c>
      <c r="C10" s="101"/>
      <c r="D10" s="80" t="s">
        <v>190</v>
      </c>
      <c r="E10" s="215">
        <f t="shared" si="0"/>
        <v>280000</v>
      </c>
      <c r="F10" s="215">
        <f t="shared" si="0"/>
        <v>0</v>
      </c>
      <c r="G10" s="215">
        <f t="shared" si="0"/>
        <v>0</v>
      </c>
      <c r="H10" s="215">
        <f t="shared" si="0"/>
        <v>280000</v>
      </c>
    </row>
    <row r="11" spans="1:8" s="234" customFormat="1" ht="28.5" customHeight="1">
      <c r="A11" s="101"/>
      <c r="B11" s="101"/>
      <c r="C11" s="235" t="s">
        <v>257</v>
      </c>
      <c r="D11" s="80" t="s">
        <v>66</v>
      </c>
      <c r="E11" s="215">
        <v>280000</v>
      </c>
      <c r="F11" s="215"/>
      <c r="G11" s="236"/>
      <c r="H11" s="215">
        <f>SUM(E11+F11-G11)</f>
        <v>280000</v>
      </c>
    </row>
    <row r="12" spans="1:8" s="1" customFormat="1" ht="21" customHeight="1">
      <c r="A12" s="78"/>
      <c r="B12" s="78"/>
      <c r="C12" s="78"/>
      <c r="D12" s="2" t="s">
        <v>81</v>
      </c>
      <c r="E12" s="59">
        <f>SUM(E9)</f>
        <v>280000</v>
      </c>
      <c r="F12" s="59">
        <f>SUM(F9)</f>
        <v>0</v>
      </c>
      <c r="G12" s="59">
        <f>SUM(G9)</f>
        <v>0</v>
      </c>
      <c r="H12" s="59">
        <f>SUM(H9)</f>
        <v>280000</v>
      </c>
    </row>
    <row r="13" spans="1:8" s="1" customFormat="1" ht="22.5" customHeight="1">
      <c r="A13" s="231"/>
      <c r="B13" s="231"/>
      <c r="C13" s="231"/>
      <c r="D13" s="232"/>
      <c r="E13" s="233"/>
      <c r="F13" s="233"/>
      <c r="G13" s="233"/>
      <c r="H13" s="233"/>
    </row>
    <row r="14" spans="1:4" ht="44.25" customHeight="1">
      <c r="A14" s="412" t="s">
        <v>423</v>
      </c>
      <c r="B14" s="412"/>
      <c r="C14" s="412"/>
      <c r="D14" s="412"/>
    </row>
    <row r="15" spans="1:8" s="242" customFormat="1" ht="23.25" customHeight="1">
      <c r="A15" s="2" t="s">
        <v>0</v>
      </c>
      <c r="B15" s="2" t="s">
        <v>1</v>
      </c>
      <c r="C15" s="2" t="s">
        <v>2</v>
      </c>
      <c r="D15" s="2" t="s">
        <v>3</v>
      </c>
      <c r="E15" s="202" t="s">
        <v>165</v>
      </c>
      <c r="F15" s="2" t="s">
        <v>304</v>
      </c>
      <c r="G15" s="2" t="s">
        <v>305</v>
      </c>
      <c r="H15" s="202" t="s">
        <v>168</v>
      </c>
    </row>
    <row r="16" spans="1:8" s="276" customFormat="1" ht="23.25" customHeight="1">
      <c r="A16" s="2">
        <v>851</v>
      </c>
      <c r="B16" s="2"/>
      <c r="C16" s="2"/>
      <c r="D16" s="277" t="s">
        <v>411</v>
      </c>
      <c r="E16" s="278">
        <f>E20+E17</f>
        <v>76829</v>
      </c>
      <c r="F16" s="278">
        <f>F20+F17</f>
        <v>82959</v>
      </c>
      <c r="G16" s="278">
        <f>G20+G17</f>
        <v>42959</v>
      </c>
      <c r="H16" s="278">
        <f>H20+H17</f>
        <v>116829</v>
      </c>
    </row>
    <row r="17" spans="1:8" s="276" customFormat="1" ht="23.25" customHeight="1">
      <c r="A17" s="2"/>
      <c r="B17" s="101">
        <v>85153</v>
      </c>
      <c r="C17" s="2"/>
      <c r="D17" s="97" t="s">
        <v>479</v>
      </c>
      <c r="E17" s="377">
        <f>SUM(E18:E19)</f>
        <v>0</v>
      </c>
      <c r="F17" s="378">
        <f>SUM(F18:F19)</f>
        <v>24109</v>
      </c>
      <c r="G17" s="378">
        <f>SUM(G18:G19)</f>
        <v>0</v>
      </c>
      <c r="H17" s="378">
        <f>SUM(H18:H19)</f>
        <v>24109</v>
      </c>
    </row>
    <row r="18" spans="1:8" s="276" customFormat="1" ht="23.25" customHeight="1">
      <c r="A18" s="2"/>
      <c r="B18" s="2"/>
      <c r="C18" s="89">
        <v>4300</v>
      </c>
      <c r="D18" s="23" t="s">
        <v>93</v>
      </c>
      <c r="E18" s="377">
        <v>0</v>
      </c>
      <c r="F18" s="378">
        <v>1000</v>
      </c>
      <c r="G18" s="378"/>
      <c r="H18" s="378">
        <f>SUM(E18+F18-G18)</f>
        <v>1000</v>
      </c>
    </row>
    <row r="19" spans="1:8" s="276" customFormat="1" ht="23.25" customHeight="1">
      <c r="A19" s="2"/>
      <c r="B19" s="2"/>
      <c r="C19" s="89">
        <v>6060</v>
      </c>
      <c r="D19" s="68" t="s">
        <v>110</v>
      </c>
      <c r="E19" s="377">
        <v>0</v>
      </c>
      <c r="F19" s="378">
        <v>23109</v>
      </c>
      <c r="G19" s="378"/>
      <c r="H19" s="378">
        <f>SUM(E19+F19-G19)</f>
        <v>23109</v>
      </c>
    </row>
    <row r="20" spans="1:8" s="43" customFormat="1" ht="21.75" customHeight="1">
      <c r="A20" s="126"/>
      <c r="B20" s="126" t="s">
        <v>137</v>
      </c>
      <c r="C20" s="89"/>
      <c r="D20" s="23" t="s">
        <v>65</v>
      </c>
      <c r="E20" s="141">
        <f>SUM(E21:E25)</f>
        <v>76829</v>
      </c>
      <c r="F20" s="141">
        <f>SUM(F21:F25)</f>
        <v>58850</v>
      </c>
      <c r="G20" s="141">
        <f>SUM(G21:G25)</f>
        <v>42959</v>
      </c>
      <c r="H20" s="141">
        <f>SUM(H21:H25)</f>
        <v>92720</v>
      </c>
    </row>
    <row r="21" spans="1:8" s="43" customFormat="1" ht="33" customHeight="1">
      <c r="A21" s="126"/>
      <c r="B21" s="126"/>
      <c r="C21" s="89">
        <v>2630</v>
      </c>
      <c r="D21" s="23" t="s">
        <v>450</v>
      </c>
      <c r="E21" s="141">
        <v>0</v>
      </c>
      <c r="F21" s="141">
        <v>43850</v>
      </c>
      <c r="G21" s="141"/>
      <c r="H21" s="148">
        <f>SUM(E21+F21-G21)</f>
        <v>43850</v>
      </c>
    </row>
    <row r="22" spans="1:8" s="43" customFormat="1" ht="21.75" customHeight="1" hidden="1">
      <c r="A22" s="126"/>
      <c r="B22" s="89"/>
      <c r="C22" s="89">
        <v>3030</v>
      </c>
      <c r="D22" s="23" t="s">
        <v>103</v>
      </c>
      <c r="E22" s="148">
        <v>15000</v>
      </c>
      <c r="F22" s="148"/>
      <c r="G22" s="148">
        <v>15000</v>
      </c>
      <c r="H22" s="148">
        <f>SUM(E22+F22-G22)</f>
        <v>0</v>
      </c>
    </row>
    <row r="23" spans="1:8" s="43" customFormat="1" ht="21.75" customHeight="1">
      <c r="A23" s="126"/>
      <c r="B23" s="89"/>
      <c r="C23" s="89">
        <v>4170</v>
      </c>
      <c r="D23" s="23" t="s">
        <v>288</v>
      </c>
      <c r="E23" s="148">
        <v>0</v>
      </c>
      <c r="F23" s="148">
        <v>15000</v>
      </c>
      <c r="G23" s="148"/>
      <c r="H23" s="148">
        <f>SUM(E23+F23-G23)</f>
        <v>15000</v>
      </c>
    </row>
    <row r="24" spans="1:8" s="43" customFormat="1" ht="20.25" customHeight="1">
      <c r="A24" s="126"/>
      <c r="B24" s="89"/>
      <c r="C24" s="89">
        <v>4300</v>
      </c>
      <c r="D24" s="23" t="s">
        <v>93</v>
      </c>
      <c r="E24" s="148">
        <v>38720</v>
      </c>
      <c r="F24" s="148"/>
      <c r="G24" s="148">
        <f>3850+1000</f>
        <v>4850</v>
      </c>
      <c r="H24" s="148">
        <f>SUM(E24+F24-G24)</f>
        <v>33870</v>
      </c>
    </row>
    <row r="25" spans="1:8" s="43" customFormat="1" ht="22.5" hidden="1">
      <c r="A25" s="126"/>
      <c r="B25" s="89"/>
      <c r="C25" s="89">
        <v>6060</v>
      </c>
      <c r="D25" s="68" t="s">
        <v>110</v>
      </c>
      <c r="E25" s="148">
        <v>23109</v>
      </c>
      <c r="F25" s="148"/>
      <c r="G25" s="148">
        <v>23109</v>
      </c>
      <c r="H25" s="148">
        <f>SUM(E25+F25-G25)</f>
        <v>0</v>
      </c>
    </row>
    <row r="26" spans="1:8" s="9" customFormat="1" ht="21.75" customHeight="1">
      <c r="A26" s="60">
        <v>852</v>
      </c>
      <c r="B26" s="6"/>
      <c r="C26" s="6"/>
      <c r="D26" s="36" t="s">
        <v>276</v>
      </c>
      <c r="E26" s="29">
        <f>SUM(E29,E27)</f>
        <v>88171</v>
      </c>
      <c r="F26" s="29">
        <f>SUM(F29,F27)</f>
        <v>0</v>
      </c>
      <c r="G26" s="29">
        <f>SUM(G29,G27)</f>
        <v>0</v>
      </c>
      <c r="H26" s="29">
        <f>SUM(H29,H27)</f>
        <v>88171</v>
      </c>
    </row>
    <row r="27" spans="1:8" s="43" customFormat="1" ht="24">
      <c r="A27" s="126"/>
      <c r="B27" s="126">
        <v>85214</v>
      </c>
      <c r="C27" s="89"/>
      <c r="D27" s="23" t="s">
        <v>336</v>
      </c>
      <c r="E27" s="148">
        <f>SUM(E28)</f>
        <v>3000</v>
      </c>
      <c r="F27" s="148">
        <f>SUM(F28)</f>
        <v>0</v>
      </c>
      <c r="G27" s="148">
        <f>SUM(G28)</f>
        <v>0</v>
      </c>
      <c r="H27" s="148">
        <f>SUM(H28)</f>
        <v>3000</v>
      </c>
    </row>
    <row r="28" spans="1:8" s="43" customFormat="1" ht="21.75" customHeight="1">
      <c r="A28" s="126"/>
      <c r="B28" s="126"/>
      <c r="C28" s="89">
        <v>3110</v>
      </c>
      <c r="D28" s="23" t="s">
        <v>129</v>
      </c>
      <c r="E28" s="148">
        <v>3000</v>
      </c>
      <c r="F28" s="148"/>
      <c r="G28" s="148"/>
      <c r="H28" s="148">
        <f>SUM(E28+F28-G28)</f>
        <v>3000</v>
      </c>
    </row>
    <row r="29" spans="1:8" s="43" customFormat="1" ht="21.75" customHeight="1">
      <c r="A29" s="126"/>
      <c r="B29" s="126">
        <v>85219</v>
      </c>
      <c r="C29" s="89"/>
      <c r="D29" s="68" t="s">
        <v>70</v>
      </c>
      <c r="E29" s="141">
        <f>SUM(E30:E38)</f>
        <v>85171</v>
      </c>
      <c r="F29" s="141"/>
      <c r="G29" s="141">
        <f>SUM(G30:G38)</f>
        <v>0</v>
      </c>
      <c r="H29" s="141">
        <f>SUM(H30:H38)</f>
        <v>85171</v>
      </c>
    </row>
    <row r="30" spans="1:8" s="43" customFormat="1" ht="21.75" customHeight="1">
      <c r="A30" s="126"/>
      <c r="B30" s="126"/>
      <c r="C30" s="142">
        <v>4010</v>
      </c>
      <c r="D30" s="68" t="s">
        <v>98</v>
      </c>
      <c r="E30" s="148">
        <v>16542</v>
      </c>
      <c r="F30" s="148"/>
      <c r="G30" s="148"/>
      <c r="H30" s="148">
        <f>SUM(E30+F30-G30)</f>
        <v>16542</v>
      </c>
    </row>
    <row r="31" spans="1:8" s="43" customFormat="1" ht="21.75" customHeight="1">
      <c r="A31" s="126"/>
      <c r="B31" s="126"/>
      <c r="C31" s="142">
        <v>4040</v>
      </c>
      <c r="D31" s="68" t="s">
        <v>99</v>
      </c>
      <c r="E31" s="148">
        <v>1330</v>
      </c>
      <c r="F31" s="148"/>
      <c r="G31" s="148"/>
      <c r="H31" s="148">
        <f aca="true" t="shared" si="1" ref="H31:H38">SUM(E31+F31-G31)</f>
        <v>1330</v>
      </c>
    </row>
    <row r="32" spans="1:8" s="43" customFormat="1" ht="21.75" customHeight="1">
      <c r="A32" s="126"/>
      <c r="B32" s="126"/>
      <c r="C32" s="142">
        <v>4110</v>
      </c>
      <c r="D32" s="68" t="s">
        <v>100</v>
      </c>
      <c r="E32" s="148">
        <v>3169</v>
      </c>
      <c r="F32" s="148"/>
      <c r="G32" s="148"/>
      <c r="H32" s="148">
        <f t="shared" si="1"/>
        <v>3169</v>
      </c>
    </row>
    <row r="33" spans="1:8" s="43" customFormat="1" ht="21.75" customHeight="1">
      <c r="A33" s="126"/>
      <c r="B33" s="126"/>
      <c r="C33" s="142">
        <v>4120</v>
      </c>
      <c r="D33" s="68" t="s">
        <v>101</v>
      </c>
      <c r="E33" s="148">
        <v>438</v>
      </c>
      <c r="F33" s="148"/>
      <c r="G33" s="148"/>
      <c r="H33" s="148">
        <f t="shared" si="1"/>
        <v>438</v>
      </c>
    </row>
    <row r="34" spans="1:8" s="43" customFormat="1" ht="21.75" customHeight="1">
      <c r="A34" s="126"/>
      <c r="B34" s="126"/>
      <c r="C34" s="142">
        <v>4170</v>
      </c>
      <c r="D34" s="68" t="s">
        <v>288</v>
      </c>
      <c r="E34" s="148">
        <v>13200</v>
      </c>
      <c r="F34" s="148"/>
      <c r="G34" s="148"/>
      <c r="H34" s="148">
        <f t="shared" si="1"/>
        <v>13200</v>
      </c>
    </row>
    <row r="35" spans="1:8" s="43" customFormat="1" ht="21.75" customHeight="1">
      <c r="A35" s="126"/>
      <c r="B35" s="126"/>
      <c r="C35" s="142">
        <v>4210</v>
      </c>
      <c r="D35" s="23" t="s">
        <v>106</v>
      </c>
      <c r="E35" s="148">
        <v>7300</v>
      </c>
      <c r="F35" s="148"/>
      <c r="G35" s="148"/>
      <c r="H35" s="148">
        <f t="shared" si="1"/>
        <v>7300</v>
      </c>
    </row>
    <row r="36" spans="1:8" s="43" customFormat="1" ht="21.75" customHeight="1">
      <c r="A36" s="126"/>
      <c r="B36" s="126"/>
      <c r="C36" s="142">
        <v>4300</v>
      </c>
      <c r="D36" s="23" t="s">
        <v>93</v>
      </c>
      <c r="E36" s="148">
        <v>41747</v>
      </c>
      <c r="F36" s="148"/>
      <c r="G36" s="148"/>
      <c r="H36" s="148">
        <f t="shared" si="1"/>
        <v>41747</v>
      </c>
    </row>
    <row r="37" spans="1:8" s="43" customFormat="1" ht="21.75" customHeight="1">
      <c r="A37" s="126"/>
      <c r="B37" s="126"/>
      <c r="C37" s="142">
        <v>4410</v>
      </c>
      <c r="D37" s="68" t="s">
        <v>104</v>
      </c>
      <c r="E37" s="148">
        <v>700</v>
      </c>
      <c r="F37" s="148"/>
      <c r="G37" s="148"/>
      <c r="H37" s="148">
        <f t="shared" si="1"/>
        <v>700</v>
      </c>
    </row>
    <row r="38" spans="1:8" s="43" customFormat="1" ht="26.25" customHeight="1">
      <c r="A38" s="126"/>
      <c r="B38" s="126"/>
      <c r="C38" s="142">
        <v>4440</v>
      </c>
      <c r="D38" s="68" t="s">
        <v>102</v>
      </c>
      <c r="E38" s="148">
        <v>745</v>
      </c>
      <c r="F38" s="148"/>
      <c r="G38" s="148"/>
      <c r="H38" s="148">
        <f t="shared" si="1"/>
        <v>745</v>
      </c>
    </row>
    <row r="39" spans="1:8" s="9" customFormat="1" ht="24.75" customHeight="1">
      <c r="A39" s="60" t="s">
        <v>140</v>
      </c>
      <c r="B39" s="6"/>
      <c r="C39" s="6"/>
      <c r="D39" s="36" t="s">
        <v>71</v>
      </c>
      <c r="E39" s="29">
        <f>SUM(E40)</f>
        <v>105000</v>
      </c>
      <c r="F39" s="29">
        <f>SUM(F40)</f>
        <v>0</v>
      </c>
      <c r="G39" s="29">
        <f>SUM(G40)</f>
        <v>40000</v>
      </c>
      <c r="H39" s="29">
        <f>SUM(H40)</f>
        <v>65000</v>
      </c>
    </row>
    <row r="40" spans="1:8" s="43" customFormat="1" ht="24">
      <c r="A40" s="126"/>
      <c r="B40" s="126" t="s">
        <v>144</v>
      </c>
      <c r="C40" s="89"/>
      <c r="D40" s="23" t="s">
        <v>145</v>
      </c>
      <c r="E40" s="141">
        <f>SUM(E41:E42)</f>
        <v>105000</v>
      </c>
      <c r="F40" s="141">
        <f>SUM(F41:F42)</f>
        <v>0</v>
      </c>
      <c r="G40" s="141">
        <f>SUM(G41:G42)</f>
        <v>40000</v>
      </c>
      <c r="H40" s="141">
        <f>SUM(H41:H42)</f>
        <v>65000</v>
      </c>
    </row>
    <row r="41" spans="1:8" s="43" customFormat="1" ht="21" customHeight="1">
      <c r="A41" s="126"/>
      <c r="B41" s="126"/>
      <c r="C41" s="89">
        <v>4210</v>
      </c>
      <c r="D41" s="23" t="s">
        <v>106</v>
      </c>
      <c r="E41" s="148">
        <v>5500</v>
      </c>
      <c r="F41" s="148"/>
      <c r="G41" s="148"/>
      <c r="H41" s="148">
        <f>SUM(E41+F41-G41)</f>
        <v>5500</v>
      </c>
    </row>
    <row r="42" spans="1:8" s="43" customFormat="1" ht="21.75" customHeight="1">
      <c r="A42" s="89"/>
      <c r="B42" s="89"/>
      <c r="C42" s="89">
        <v>4300</v>
      </c>
      <c r="D42" s="23" t="s">
        <v>93</v>
      </c>
      <c r="E42" s="148">
        <v>99500</v>
      </c>
      <c r="F42" s="148"/>
      <c r="G42" s="148">
        <f>36400+3600</f>
        <v>40000</v>
      </c>
      <c r="H42" s="148">
        <f>SUM(E42+F42-G42)</f>
        <v>59500</v>
      </c>
    </row>
    <row r="43" spans="1:8" s="9" customFormat="1" ht="21.75" customHeight="1">
      <c r="A43" s="60" t="s">
        <v>164</v>
      </c>
      <c r="B43" s="6"/>
      <c r="C43" s="6"/>
      <c r="D43" s="36" t="s">
        <v>79</v>
      </c>
      <c r="E43" s="29">
        <f>E44</f>
        <v>10000</v>
      </c>
      <c r="F43" s="29">
        <f>F44</f>
        <v>10000</v>
      </c>
      <c r="G43" s="29">
        <f>G44</f>
        <v>10000</v>
      </c>
      <c r="H43" s="29">
        <f>H44</f>
        <v>10000</v>
      </c>
    </row>
    <row r="44" spans="1:8" s="43" customFormat="1" ht="24" customHeight="1">
      <c r="A44" s="89"/>
      <c r="B44" s="137">
        <v>92605</v>
      </c>
      <c r="C44" s="89"/>
      <c r="D44" s="23" t="s">
        <v>80</v>
      </c>
      <c r="E44" s="148">
        <f>SUM(E45:E46)</f>
        <v>10000</v>
      </c>
      <c r="F44" s="148">
        <f>SUM(F45:F46)</f>
        <v>10000</v>
      </c>
      <c r="G44" s="148">
        <f>SUM(G45:G46)</f>
        <v>10000</v>
      </c>
      <c r="H44" s="148">
        <f>SUM(H45:H46)</f>
        <v>10000</v>
      </c>
    </row>
    <row r="45" spans="1:8" s="43" customFormat="1" ht="23.25" customHeight="1">
      <c r="A45" s="89"/>
      <c r="B45" s="137"/>
      <c r="C45" s="89">
        <v>4170</v>
      </c>
      <c r="D45" s="23" t="s">
        <v>288</v>
      </c>
      <c r="E45" s="148">
        <v>0</v>
      </c>
      <c r="F45" s="148">
        <v>10000</v>
      </c>
      <c r="G45" s="148"/>
      <c r="H45" s="148">
        <f>SUM(E45+F45-G45)</f>
        <v>10000</v>
      </c>
    </row>
    <row r="46" spans="1:8" s="43" customFormat="1" ht="21.75" customHeight="1" hidden="1">
      <c r="A46" s="89"/>
      <c r="B46" s="137"/>
      <c r="C46" s="89">
        <v>4300</v>
      </c>
      <c r="D46" s="23" t="s">
        <v>93</v>
      </c>
      <c r="E46" s="148">
        <v>10000</v>
      </c>
      <c r="F46" s="148"/>
      <c r="G46" s="148">
        <v>10000</v>
      </c>
      <c r="H46" s="148">
        <f>SUM(E46+F46-G46)</f>
        <v>0</v>
      </c>
    </row>
    <row r="47" spans="1:8" s="72" customFormat="1" ht="22.5" customHeight="1">
      <c r="A47" s="237"/>
      <c r="B47" s="237"/>
      <c r="C47" s="237"/>
      <c r="D47" s="7" t="s">
        <v>81</v>
      </c>
      <c r="E47" s="29">
        <f>E26+E16+E39+E43</f>
        <v>280000</v>
      </c>
      <c r="F47" s="29">
        <f>F26+F16+F39+F43</f>
        <v>92959</v>
      </c>
      <c r="G47" s="29">
        <f>G26+G16+G39+G43</f>
        <v>92959</v>
      </c>
      <c r="H47" s="29">
        <f>H26+H16+H39+H43</f>
        <v>280000</v>
      </c>
    </row>
    <row r="48" ht="12.75"/>
    <row r="49" ht="12.75"/>
    <row r="50" ht="12.75">
      <c r="G50" s="91"/>
    </row>
    <row r="51" ht="12.75"/>
  </sheetData>
  <mergeCells count="3">
    <mergeCell ref="A5:D5"/>
    <mergeCell ref="A7:D7"/>
    <mergeCell ref="A14:D14"/>
  </mergeCells>
  <printOptions horizontalCentered="1"/>
  <pageMargins left="0.5118110236220472" right="0.5118110236220472" top="0.7874015748031497" bottom="0.7874015748031497" header="0.5118110236220472" footer="0.31496062992125984"/>
  <pageSetup horizontalDpi="600" verticalDpi="600" orientation="portrait" paperSize="9" r:id="rId3"/>
  <headerFooter alignWithMargins="0">
    <oddFooter>&amp;CStrona 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8">
      <selection activeCell="L1" sqref="A1:L15"/>
    </sheetView>
  </sheetViews>
  <sheetFormatPr defaultColWidth="9.00390625" defaultRowHeight="12.75"/>
  <cols>
    <col min="1" max="1" width="5.125" style="43" customWidth="1"/>
    <col min="2" max="2" width="43.25390625" style="43" customWidth="1"/>
    <col min="3" max="4" width="10.00390625" style="43" hidden="1" customWidth="1"/>
    <col min="5" max="5" width="9.75390625" style="43" hidden="1" customWidth="1"/>
    <col min="6" max="6" width="9.25390625" style="43" hidden="1" customWidth="1"/>
    <col min="7" max="8" width="11.25390625" style="43" hidden="1" customWidth="1"/>
    <col min="9" max="9" width="13.625" style="43" hidden="1" customWidth="1"/>
    <col min="10" max="10" width="5.75390625" style="43" hidden="1" customWidth="1"/>
    <col min="11" max="12" width="19.875" style="43" customWidth="1"/>
    <col min="13" max="13" width="13.625" style="43" hidden="1" customWidth="1"/>
    <col min="14" max="14" width="12.875" style="43" hidden="1" customWidth="1"/>
    <col min="15" max="15" width="12.375" style="43" hidden="1" customWidth="1"/>
    <col min="16" max="16" width="11.25390625" style="43" hidden="1" customWidth="1"/>
  </cols>
  <sheetData>
    <row r="1" spans="3:16" ht="12.75">
      <c r="C1" s="107"/>
      <c r="G1" s="199" t="s">
        <v>331</v>
      </c>
      <c r="H1" s="107"/>
      <c r="I1" s="107"/>
      <c r="J1" s="199"/>
      <c r="K1" s="199"/>
      <c r="L1" s="107" t="s">
        <v>402</v>
      </c>
      <c r="M1" s="107"/>
      <c r="N1" s="199"/>
      <c r="O1" s="199"/>
      <c r="P1" s="199"/>
    </row>
    <row r="2" spans="3:16" ht="12.75">
      <c r="C2" s="107"/>
      <c r="G2" s="199" t="s">
        <v>330</v>
      </c>
      <c r="H2" s="107"/>
      <c r="I2" s="107"/>
      <c r="J2" s="199"/>
      <c r="K2" s="199"/>
      <c r="L2" s="107" t="s">
        <v>474</v>
      </c>
      <c r="M2" s="107"/>
      <c r="N2" s="199"/>
      <c r="O2" s="199"/>
      <c r="P2" s="199"/>
    </row>
    <row r="3" spans="3:16" ht="12.75">
      <c r="C3" s="107"/>
      <c r="G3" s="199" t="s">
        <v>322</v>
      </c>
      <c r="H3" s="107"/>
      <c r="I3" s="107"/>
      <c r="J3" s="199"/>
      <c r="K3" s="199"/>
      <c r="L3" s="107" t="s">
        <v>192</v>
      </c>
      <c r="M3" s="107"/>
      <c r="N3" s="199"/>
      <c r="O3" s="199"/>
      <c r="P3" s="199"/>
    </row>
    <row r="4" spans="3:16" ht="12.75">
      <c r="C4" s="107"/>
      <c r="G4" s="199" t="s">
        <v>323</v>
      </c>
      <c r="H4" s="107"/>
      <c r="I4" s="107"/>
      <c r="J4" s="199"/>
      <c r="K4" s="199"/>
      <c r="L4" s="107" t="s">
        <v>475</v>
      </c>
      <c r="M4" s="107"/>
      <c r="N4" s="199"/>
      <c r="O4" s="199"/>
      <c r="P4" s="199"/>
    </row>
    <row r="5" spans="3:16" ht="12.75">
      <c r="C5" s="107"/>
      <c r="G5" s="199"/>
      <c r="H5" s="107"/>
      <c r="I5" s="107"/>
      <c r="J5" s="199"/>
      <c r="K5" s="199"/>
      <c r="L5" s="107"/>
      <c r="M5" s="107"/>
      <c r="N5" s="199"/>
      <c r="O5" s="199"/>
      <c r="P5" s="199"/>
    </row>
    <row r="6" spans="1:3" s="56" customFormat="1" ht="21.75" customHeight="1">
      <c r="A6" s="391" t="s">
        <v>398</v>
      </c>
      <c r="B6" s="391"/>
      <c r="C6" s="391"/>
    </row>
    <row r="7" spans="1:3" s="56" customFormat="1" ht="12" customHeight="1">
      <c r="A7" s="211"/>
      <c r="B7" s="211"/>
      <c r="C7" s="211"/>
    </row>
    <row r="8" spans="1:16" s="9" customFormat="1" ht="20.25" customHeight="1">
      <c r="A8" s="400" t="s">
        <v>2</v>
      </c>
      <c r="B8" s="400" t="s">
        <v>3</v>
      </c>
      <c r="C8" s="392" t="s">
        <v>168</v>
      </c>
      <c r="D8" s="392"/>
      <c r="E8" s="392" t="s">
        <v>309</v>
      </c>
      <c r="F8" s="392"/>
      <c r="G8" s="392" t="s">
        <v>165</v>
      </c>
      <c r="H8" s="392"/>
      <c r="I8" s="392" t="s">
        <v>309</v>
      </c>
      <c r="J8" s="392"/>
      <c r="K8" s="400" t="s">
        <v>168</v>
      </c>
      <c r="L8" s="400"/>
      <c r="M8" s="392" t="s">
        <v>309</v>
      </c>
      <c r="N8" s="392"/>
      <c r="O8" s="392" t="s">
        <v>321</v>
      </c>
      <c r="P8" s="392"/>
    </row>
    <row r="9" spans="1:16" s="9" customFormat="1" ht="21" customHeight="1">
      <c r="A9" s="400"/>
      <c r="B9" s="400"/>
      <c r="C9" s="212" t="s">
        <v>169</v>
      </c>
      <c r="D9" s="212" t="s">
        <v>170</v>
      </c>
      <c r="E9" s="212" t="s">
        <v>169</v>
      </c>
      <c r="F9" s="212" t="s">
        <v>170</v>
      </c>
      <c r="G9" s="212" t="s">
        <v>169</v>
      </c>
      <c r="H9" s="212" t="s">
        <v>170</v>
      </c>
      <c r="I9" s="212" t="s">
        <v>169</v>
      </c>
      <c r="J9" s="212" t="s">
        <v>170</v>
      </c>
      <c r="K9" s="212" t="s">
        <v>169</v>
      </c>
      <c r="L9" s="212" t="s">
        <v>170</v>
      </c>
      <c r="M9" s="212" t="s">
        <v>169</v>
      </c>
      <c r="N9" s="212" t="s">
        <v>170</v>
      </c>
      <c r="O9" s="212" t="s">
        <v>169</v>
      </c>
      <c r="P9" s="212" t="s">
        <v>170</v>
      </c>
    </row>
    <row r="10" spans="1:16" s="9" customFormat="1" ht="49.5" customHeight="1">
      <c r="A10" s="2">
        <v>903</v>
      </c>
      <c r="B10" s="79" t="s">
        <v>337</v>
      </c>
      <c r="C10" s="212"/>
      <c r="D10" s="212"/>
      <c r="E10" s="212"/>
      <c r="F10" s="212"/>
      <c r="G10" s="212"/>
      <c r="H10" s="212"/>
      <c r="I10" s="212"/>
      <c r="J10" s="212"/>
      <c r="K10" s="35">
        <v>5717636</v>
      </c>
      <c r="L10" s="35">
        <v>0</v>
      </c>
      <c r="M10" s="35"/>
      <c r="N10" s="35"/>
      <c r="O10" s="13"/>
      <c r="P10" s="13"/>
    </row>
    <row r="11" spans="1:16" s="9" customFormat="1" ht="49.5" customHeight="1">
      <c r="A11" s="2">
        <v>952</v>
      </c>
      <c r="B11" s="79" t="s">
        <v>193</v>
      </c>
      <c r="C11" s="13">
        <v>5000000</v>
      </c>
      <c r="D11" s="13">
        <v>0</v>
      </c>
      <c r="E11" s="213">
        <f>452400+50000</f>
        <v>502400</v>
      </c>
      <c r="F11" s="213">
        <v>0</v>
      </c>
      <c r="G11" s="13">
        <f aca="true" t="shared" si="0" ref="G11:H13">SUM(C11+E11)</f>
        <v>5502400</v>
      </c>
      <c r="H11" s="13">
        <f t="shared" si="0"/>
        <v>0</v>
      </c>
      <c r="I11" s="13">
        <v>-53720</v>
      </c>
      <c r="J11" s="13">
        <f>SUM(F11+H11)</f>
        <v>0</v>
      </c>
      <c r="K11" s="13">
        <f>2713000+3391011+15000</f>
        <v>6119011</v>
      </c>
      <c r="L11" s="13">
        <v>0</v>
      </c>
      <c r="M11" s="13"/>
      <c r="N11" s="13"/>
      <c r="O11" s="13"/>
      <c r="P11" s="13"/>
    </row>
    <row r="12" spans="1:16" s="9" customFormat="1" ht="49.5" customHeight="1">
      <c r="A12" s="2">
        <v>982</v>
      </c>
      <c r="B12" s="79" t="s">
        <v>310</v>
      </c>
      <c r="C12" s="13"/>
      <c r="D12" s="13"/>
      <c r="E12" s="13"/>
      <c r="F12" s="13">
        <v>800000</v>
      </c>
      <c r="G12" s="13">
        <f t="shared" si="0"/>
        <v>0</v>
      </c>
      <c r="H12" s="13">
        <f t="shared" si="0"/>
        <v>800000</v>
      </c>
      <c r="I12" s="13">
        <f>SUM(E12+G12)</f>
        <v>0</v>
      </c>
      <c r="J12" s="13">
        <v>0</v>
      </c>
      <c r="K12" s="13">
        <f>SUM(G12+I12)</f>
        <v>0</v>
      </c>
      <c r="L12" s="13">
        <v>1850000</v>
      </c>
      <c r="M12" s="13"/>
      <c r="N12" s="13"/>
      <c r="O12" s="13"/>
      <c r="P12" s="13"/>
    </row>
    <row r="13" spans="1:16" s="9" customFormat="1" ht="49.5" customHeight="1">
      <c r="A13" s="2">
        <v>992</v>
      </c>
      <c r="B13" s="79" t="s">
        <v>172</v>
      </c>
      <c r="C13" s="13">
        <v>0</v>
      </c>
      <c r="D13" s="13">
        <v>3938785</v>
      </c>
      <c r="E13" s="13">
        <v>0</v>
      </c>
      <c r="F13" s="13">
        <v>-800000</v>
      </c>
      <c r="G13" s="13">
        <f t="shared" si="0"/>
        <v>0</v>
      </c>
      <c r="H13" s="13">
        <f t="shared" si="0"/>
        <v>3138785</v>
      </c>
      <c r="I13" s="13">
        <f>SUM(E13+G13)</f>
        <v>0</v>
      </c>
      <c r="J13" s="13">
        <v>0</v>
      </c>
      <c r="K13" s="13">
        <f>SUM(G13+I13)</f>
        <v>0</v>
      </c>
      <c r="L13" s="13">
        <v>2806515</v>
      </c>
      <c r="M13" s="13"/>
      <c r="N13" s="13"/>
      <c r="O13" s="13"/>
      <c r="P13" s="13"/>
    </row>
    <row r="14" spans="2:16" s="9" customFormat="1" ht="30" customHeight="1">
      <c r="B14" s="2" t="s">
        <v>81</v>
      </c>
      <c r="C14" s="393">
        <f>SUM(C11:C13)-SUM(D11:D13)</f>
        <v>1061215</v>
      </c>
      <c r="D14" s="393"/>
      <c r="E14" s="393">
        <f>SUM(E11:E13)-SUM(F11:F13)</f>
        <v>502400</v>
      </c>
      <c r="F14" s="393"/>
      <c r="G14" s="393">
        <f>SUM(G11:G13)-SUM(H11:H13)</f>
        <v>1563615</v>
      </c>
      <c r="H14" s="393"/>
      <c r="I14" s="393">
        <f>SUM(I11:I13)-SUM(J11:J13)</f>
        <v>-53720</v>
      </c>
      <c r="J14" s="393"/>
      <c r="K14" s="34">
        <f>K10+K11+K12+K13</f>
        <v>11836647</v>
      </c>
      <c r="L14" s="34">
        <f>L10+L11+L12+L13</f>
        <v>4656515</v>
      </c>
      <c r="M14" s="393"/>
      <c r="N14" s="393"/>
      <c r="O14" s="393"/>
      <c r="P14" s="393"/>
    </row>
    <row r="15" spans="2:12" ht="30" customHeight="1">
      <c r="B15" s="2" t="s">
        <v>171</v>
      </c>
      <c r="C15" s="101"/>
      <c r="D15" s="101"/>
      <c r="E15" s="101"/>
      <c r="F15" s="101"/>
      <c r="G15" s="101"/>
      <c r="H15" s="101"/>
      <c r="I15" s="101"/>
      <c r="J15" s="101"/>
      <c r="K15" s="387">
        <f>K14-L14</f>
        <v>7180132</v>
      </c>
      <c r="L15" s="388"/>
    </row>
    <row r="18" spans="11:12" ht="12.75">
      <c r="K18" s="249"/>
      <c r="L18" s="249" t="s">
        <v>416</v>
      </c>
    </row>
    <row r="19" ht="12.75">
      <c r="K19" s="249"/>
    </row>
    <row r="20" ht="12.75">
      <c r="K20" s="249"/>
    </row>
    <row r="21" ht="12.75">
      <c r="K21" s="249"/>
    </row>
    <row r="22" ht="12.75">
      <c r="K22" s="249"/>
    </row>
    <row r="23" spans="11:12" ht="12.75">
      <c r="K23" s="249"/>
      <c r="L23" s="249"/>
    </row>
    <row r="24" spans="11:12" ht="12.75">
      <c r="K24" s="249"/>
      <c r="L24" s="249"/>
    </row>
    <row r="25" spans="11:12" ht="12.75">
      <c r="K25" s="249"/>
      <c r="L25" s="249"/>
    </row>
    <row r="26" spans="11:12" ht="12.75">
      <c r="K26" s="249"/>
      <c r="L26" s="249"/>
    </row>
    <row r="27" spans="11:12" ht="12.75">
      <c r="K27" s="249"/>
      <c r="L27" s="249"/>
    </row>
    <row r="28" spans="11:12" ht="12.75">
      <c r="K28" s="249"/>
      <c r="L28" s="249"/>
    </row>
    <row r="29" spans="11:12" ht="12.75">
      <c r="K29" s="249"/>
      <c r="L29" s="249"/>
    </row>
    <row r="30" spans="11:12" ht="12.75">
      <c r="K30" s="249"/>
      <c r="L30" s="249"/>
    </row>
    <row r="31" spans="11:12" ht="12.75">
      <c r="K31" s="249"/>
      <c r="L31" s="249"/>
    </row>
    <row r="32" spans="11:12" ht="12.75">
      <c r="K32" s="249"/>
      <c r="L32" s="249"/>
    </row>
    <row r="33" spans="11:12" ht="12.75">
      <c r="K33" s="249"/>
      <c r="L33" s="249"/>
    </row>
    <row r="34" spans="11:12" ht="12.75">
      <c r="K34" s="249"/>
      <c r="L34" s="249"/>
    </row>
    <row r="35" spans="11:12" ht="12.75">
      <c r="K35" s="249"/>
      <c r="L35" s="249"/>
    </row>
    <row r="36" spans="11:12" ht="12.75">
      <c r="K36" s="249"/>
      <c r="L36" s="249"/>
    </row>
    <row r="37" spans="11:12" ht="12.75">
      <c r="K37" s="249"/>
      <c r="L37" s="249"/>
    </row>
    <row r="38" spans="11:12" ht="12.75">
      <c r="K38" s="249"/>
      <c r="L38" s="249"/>
    </row>
    <row r="39" spans="11:12" ht="12.75">
      <c r="K39" s="249"/>
      <c r="L39" s="249"/>
    </row>
    <row r="40" ht="12.75">
      <c r="L40" s="249"/>
    </row>
  </sheetData>
  <mergeCells count="17">
    <mergeCell ref="K15:L15"/>
    <mergeCell ref="M8:N8"/>
    <mergeCell ref="O8:P8"/>
    <mergeCell ref="M14:N14"/>
    <mergeCell ref="O14:P14"/>
    <mergeCell ref="I8:J8"/>
    <mergeCell ref="I14:J14"/>
    <mergeCell ref="K8:L8"/>
    <mergeCell ref="C14:D14"/>
    <mergeCell ref="E8:F8"/>
    <mergeCell ref="E14:F14"/>
    <mergeCell ref="G8:H8"/>
    <mergeCell ref="G14:H14"/>
    <mergeCell ref="A6:C6"/>
    <mergeCell ref="A8:A9"/>
    <mergeCell ref="B8:B9"/>
    <mergeCell ref="C8:D8"/>
  </mergeCell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E25" sqref="E25"/>
    </sheetView>
  </sheetViews>
  <sheetFormatPr defaultColWidth="9.00390625" defaultRowHeight="12.75"/>
  <cols>
    <col min="1" max="1" width="6.375" style="0" customWidth="1"/>
    <col min="2" max="2" width="7.75390625" style="0" customWidth="1"/>
    <col min="3" max="3" width="3.75390625" style="0" hidden="1" customWidth="1"/>
    <col min="4" max="4" width="14.00390625" style="0" customWidth="1"/>
    <col min="5" max="5" width="10.625" style="0" customWidth="1"/>
    <col min="6" max="6" width="13.00390625" style="0" customWidth="1"/>
    <col min="7" max="7" width="11.125" style="0" customWidth="1"/>
    <col min="8" max="8" width="10.625" style="0" bestFit="1" customWidth="1"/>
    <col min="9" max="9" width="10.75390625" style="0" customWidth="1"/>
    <col min="10" max="10" width="10.625" style="0" bestFit="1" customWidth="1"/>
    <col min="11" max="11" width="10.625" style="0" customWidth="1"/>
    <col min="12" max="12" width="10.75390625" style="0" customWidth="1"/>
  </cols>
  <sheetData>
    <row r="1" spans="9:10" ht="12.75">
      <c r="I1" s="199"/>
      <c r="J1" s="107" t="s">
        <v>424</v>
      </c>
    </row>
    <row r="2" spans="9:10" ht="12.75">
      <c r="I2" s="199"/>
      <c r="J2" s="107" t="s">
        <v>474</v>
      </c>
    </row>
    <row r="3" spans="9:10" ht="12.75">
      <c r="I3" s="199"/>
      <c r="J3" s="107" t="s">
        <v>192</v>
      </c>
    </row>
    <row r="4" spans="9:10" ht="12.75">
      <c r="I4" s="199"/>
      <c r="J4" s="107" t="s">
        <v>475</v>
      </c>
    </row>
    <row r="6" spans="1:12" ht="26.25" customHeight="1">
      <c r="A6" s="411" t="s">
        <v>445</v>
      </c>
      <c r="B6" s="411"/>
      <c r="C6" s="411"/>
      <c r="D6" s="411"/>
      <c r="E6" s="411"/>
      <c r="F6" s="411"/>
      <c r="G6" s="411"/>
      <c r="H6" s="411"/>
      <c r="I6" s="20"/>
      <c r="J6" s="20"/>
      <c r="K6" s="20"/>
      <c r="L6" s="20"/>
    </row>
    <row r="7" spans="1:12" ht="13.5" thickBot="1">
      <c r="A7" s="287"/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</row>
    <row r="8" spans="1:12" ht="15.75" customHeight="1" thickBot="1">
      <c r="A8" s="422" t="s">
        <v>0</v>
      </c>
      <c r="B8" s="422" t="s">
        <v>1</v>
      </c>
      <c r="C8" s="425" t="s">
        <v>188</v>
      </c>
      <c r="D8" s="428" t="s">
        <v>3</v>
      </c>
      <c r="E8" s="384" t="s">
        <v>425</v>
      </c>
      <c r="F8" s="418" t="s">
        <v>169</v>
      </c>
      <c r="G8" s="419"/>
      <c r="H8" s="433" t="s">
        <v>170</v>
      </c>
      <c r="I8" s="434"/>
      <c r="J8" s="434"/>
      <c r="K8" s="435"/>
      <c r="L8" s="384" t="s">
        <v>425</v>
      </c>
    </row>
    <row r="9" spans="1:12" ht="13.5" thickBot="1">
      <c r="A9" s="423"/>
      <c r="B9" s="423"/>
      <c r="C9" s="426"/>
      <c r="D9" s="429"/>
      <c r="E9" s="385"/>
      <c r="F9" s="418" t="s">
        <v>81</v>
      </c>
      <c r="G9" s="288" t="s">
        <v>426</v>
      </c>
      <c r="H9" s="422" t="s">
        <v>81</v>
      </c>
      <c r="I9" s="436" t="s">
        <v>427</v>
      </c>
      <c r="J9" s="437"/>
      <c r="K9" s="438"/>
      <c r="L9" s="385"/>
    </row>
    <row r="10" spans="1:12" ht="22.5">
      <c r="A10" s="423"/>
      <c r="B10" s="423"/>
      <c r="C10" s="426"/>
      <c r="D10" s="429"/>
      <c r="E10" s="431" t="s">
        <v>428</v>
      </c>
      <c r="F10" s="420"/>
      <c r="G10" s="386" t="s">
        <v>429</v>
      </c>
      <c r="H10" s="423"/>
      <c r="I10" s="289" t="s">
        <v>430</v>
      </c>
      <c r="J10" s="290" t="s">
        <v>431</v>
      </c>
      <c r="K10" s="290" t="s">
        <v>432</v>
      </c>
      <c r="L10" s="431" t="s">
        <v>433</v>
      </c>
    </row>
    <row r="11" spans="1:12" ht="16.5" customHeight="1" thickBot="1">
      <c r="A11" s="424"/>
      <c r="B11" s="424"/>
      <c r="C11" s="427"/>
      <c r="D11" s="430"/>
      <c r="E11" s="432"/>
      <c r="F11" s="421"/>
      <c r="G11" s="417"/>
      <c r="H11" s="424"/>
      <c r="I11" s="291"/>
      <c r="J11" s="292"/>
      <c r="K11" s="292"/>
      <c r="L11" s="432"/>
    </row>
    <row r="12" spans="1:12" ht="19.5" customHeight="1" thickBot="1">
      <c r="A12" s="293">
        <v>801</v>
      </c>
      <c r="B12" s="294"/>
      <c r="C12" s="295"/>
      <c r="D12" s="296" t="s">
        <v>127</v>
      </c>
      <c r="E12" s="297"/>
      <c r="F12" s="298"/>
      <c r="G12" s="299"/>
      <c r="H12" s="300"/>
      <c r="I12" s="297"/>
      <c r="J12" s="301"/>
      <c r="K12" s="301"/>
      <c r="L12" s="302"/>
    </row>
    <row r="13" spans="1:12" ht="38.25" customHeight="1">
      <c r="A13" s="303"/>
      <c r="B13" s="304">
        <v>80104</v>
      </c>
      <c r="C13" s="305"/>
      <c r="D13" s="306" t="s">
        <v>434</v>
      </c>
      <c r="E13" s="307">
        <v>-74216</v>
      </c>
      <c r="F13" s="167">
        <f>2635055+552100</f>
        <v>3187155</v>
      </c>
      <c r="G13" s="308">
        <v>2635055</v>
      </c>
      <c r="H13" s="309">
        <f>SUM(I13:K13)</f>
        <v>3187155</v>
      </c>
      <c r="I13" s="310">
        <v>2376791</v>
      </c>
      <c r="J13" s="310">
        <v>25300</v>
      </c>
      <c r="K13" s="310">
        <v>785064</v>
      </c>
      <c r="L13" s="311">
        <f>SUM(E13+F13-H13)</f>
        <v>-74216</v>
      </c>
    </row>
    <row r="14" spans="1:12" ht="45" customHeight="1" hidden="1" thickBot="1">
      <c r="A14" s="303"/>
      <c r="B14" s="312"/>
      <c r="C14" s="197"/>
      <c r="D14" s="306" t="s">
        <v>435</v>
      </c>
      <c r="E14" s="310"/>
      <c r="F14" s="148"/>
      <c r="G14" s="308"/>
      <c r="H14" s="313"/>
      <c r="I14" s="310"/>
      <c r="J14" s="310"/>
      <c r="K14" s="310"/>
      <c r="L14" s="314"/>
    </row>
    <row r="15" spans="1:12" ht="22.5" hidden="1">
      <c r="A15" s="303"/>
      <c r="B15" s="315">
        <v>80104</v>
      </c>
      <c r="C15" s="197"/>
      <c r="D15" s="316" t="s">
        <v>436</v>
      </c>
      <c r="E15" s="317"/>
      <c r="F15" s="317"/>
      <c r="G15" s="318"/>
      <c r="H15" s="319"/>
      <c r="I15" s="317"/>
      <c r="J15" s="317"/>
      <c r="K15" s="317"/>
      <c r="L15" s="320"/>
    </row>
    <row r="16" spans="1:12" ht="12.75" hidden="1">
      <c r="A16" s="303"/>
      <c r="B16" s="312"/>
      <c r="C16" s="197"/>
      <c r="D16" s="23" t="s">
        <v>435</v>
      </c>
      <c r="E16" s="321"/>
      <c r="F16" s="321"/>
      <c r="G16" s="322"/>
      <c r="H16" s="323"/>
      <c r="I16" s="321"/>
      <c r="J16" s="321"/>
      <c r="K16" s="321"/>
      <c r="L16" s="324"/>
    </row>
    <row r="17" spans="1:12" ht="33.75" hidden="1">
      <c r="A17" s="303"/>
      <c r="B17" s="312">
        <v>80104</v>
      </c>
      <c r="C17" s="197"/>
      <c r="D17" s="316" t="s">
        <v>437</v>
      </c>
      <c r="E17" s="325"/>
      <c r="F17" s="325"/>
      <c r="G17" s="326"/>
      <c r="H17" s="327"/>
      <c r="I17" s="325"/>
      <c r="J17" s="325"/>
      <c r="K17" s="325"/>
      <c r="L17" s="328"/>
    </row>
    <row r="18" spans="1:12" ht="12.75" hidden="1">
      <c r="A18" s="303"/>
      <c r="B18" s="312"/>
      <c r="C18" s="197"/>
      <c r="D18" s="23" t="s">
        <v>435</v>
      </c>
      <c r="E18" s="329"/>
      <c r="F18" s="329"/>
      <c r="G18" s="330"/>
      <c r="H18" s="331"/>
      <c r="I18" s="329"/>
      <c r="J18" s="329"/>
      <c r="K18" s="329"/>
      <c r="L18" s="332"/>
    </row>
    <row r="19" spans="1:12" ht="33.75" hidden="1">
      <c r="A19" s="303"/>
      <c r="B19" s="333"/>
      <c r="C19" s="197"/>
      <c r="D19" s="316" t="s">
        <v>437</v>
      </c>
      <c r="E19" s="325"/>
      <c r="F19" s="325"/>
      <c r="G19" s="326"/>
      <c r="H19" s="327"/>
      <c r="I19" s="325"/>
      <c r="J19" s="325"/>
      <c r="K19" s="325"/>
      <c r="L19" s="328"/>
    </row>
    <row r="20" spans="1:12" s="336" customFormat="1" ht="45.75" thickBot="1">
      <c r="A20" s="334"/>
      <c r="B20" s="335">
        <v>80146</v>
      </c>
      <c r="D20" s="337" t="s">
        <v>438</v>
      </c>
      <c r="E20" s="338">
        <v>3303</v>
      </c>
      <c r="F20" s="338">
        <v>10679</v>
      </c>
      <c r="G20" s="339">
        <v>10679</v>
      </c>
      <c r="H20" s="340">
        <v>10679</v>
      </c>
      <c r="I20" s="338">
        <v>0</v>
      </c>
      <c r="J20" s="338">
        <v>0</v>
      </c>
      <c r="K20" s="338">
        <v>10679</v>
      </c>
      <c r="L20" s="341">
        <v>3303</v>
      </c>
    </row>
    <row r="21" spans="1:12" s="92" customFormat="1" ht="28.5" customHeight="1" thickBot="1">
      <c r="A21" s="389">
        <v>801</v>
      </c>
      <c r="B21" s="390"/>
      <c r="D21" s="342" t="s">
        <v>81</v>
      </c>
      <c r="E21" s="343">
        <f aca="true" t="shared" si="0" ref="E21:L21">SUM(E13,E20)</f>
        <v>-70913</v>
      </c>
      <c r="F21" s="343">
        <f t="shared" si="0"/>
        <v>3197834</v>
      </c>
      <c r="G21" s="344">
        <f t="shared" si="0"/>
        <v>2645734</v>
      </c>
      <c r="H21" s="345">
        <f t="shared" si="0"/>
        <v>3197834</v>
      </c>
      <c r="I21" s="343">
        <f t="shared" si="0"/>
        <v>2376791</v>
      </c>
      <c r="J21" s="343">
        <f t="shared" si="0"/>
        <v>25300</v>
      </c>
      <c r="K21" s="343">
        <f t="shared" si="0"/>
        <v>795743</v>
      </c>
      <c r="L21" s="346">
        <f t="shared" si="0"/>
        <v>-70913</v>
      </c>
    </row>
    <row r="22" s="347" customFormat="1" ht="11.25">
      <c r="D22" s="348"/>
    </row>
    <row r="23" s="152" customFormat="1" ht="11.25"/>
    <row r="24" spans="10:11" s="152" customFormat="1" ht="11.25">
      <c r="J24" s="107"/>
      <c r="K24" s="107"/>
    </row>
    <row r="25" spans="10:11" s="152" customFormat="1" ht="11.25">
      <c r="J25" s="107"/>
      <c r="K25" s="107"/>
    </row>
    <row r="26" spans="10:11" s="152" customFormat="1" ht="11.25">
      <c r="J26" s="107"/>
      <c r="K26" s="107"/>
    </row>
    <row r="27" spans="10:11" s="152" customFormat="1" ht="11.25">
      <c r="J27" s="107"/>
      <c r="K27" s="107"/>
    </row>
    <row r="28" s="152" customFormat="1" ht="11.25"/>
  </sheetData>
  <mergeCells count="16">
    <mergeCell ref="L10:L11"/>
    <mergeCell ref="H8:K8"/>
    <mergeCell ref="L8:L9"/>
    <mergeCell ref="E10:E11"/>
    <mergeCell ref="I9:K9"/>
    <mergeCell ref="H9:H11"/>
    <mergeCell ref="A6:H6"/>
    <mergeCell ref="A21:B21"/>
    <mergeCell ref="E8:E9"/>
    <mergeCell ref="G10:G11"/>
    <mergeCell ref="F8:G8"/>
    <mergeCell ref="F9:F11"/>
    <mergeCell ref="A8:A11"/>
    <mergeCell ref="B8:B11"/>
    <mergeCell ref="C8:C11"/>
    <mergeCell ref="D8:D11"/>
  </mergeCells>
  <printOptions horizontalCentered="1"/>
  <pageMargins left="0.7874015748031497" right="0.7874015748031497" top="0.984251968503937" bottom="0.7874015748031497" header="0.5118110236220472" footer="0.31496062992125984"/>
  <pageSetup firstPageNumber="1" useFirstPageNumber="1" horizontalDpi="600" verticalDpi="600" orientation="landscape" paperSize="9" r:id="rId1"/>
  <headerFooter alignWithMargins="0"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L1" sqref="A1:L23"/>
    </sheetView>
  </sheetViews>
  <sheetFormatPr defaultColWidth="9.00390625" defaultRowHeight="12.75"/>
  <cols>
    <col min="1" max="1" width="6.375" style="0" customWidth="1"/>
    <col min="2" max="2" width="7.75390625" style="0" customWidth="1"/>
    <col min="3" max="3" width="3.75390625" style="0" hidden="1" customWidth="1"/>
    <col min="4" max="4" width="14.00390625" style="0" customWidth="1"/>
    <col min="5" max="5" width="10.625" style="0" customWidth="1"/>
    <col min="6" max="6" width="12.875" style="0" customWidth="1"/>
    <col min="7" max="7" width="11.125" style="0" hidden="1" customWidth="1"/>
    <col min="8" max="8" width="10.625" style="0" bestFit="1" customWidth="1"/>
    <col min="9" max="9" width="10.75390625" style="0" customWidth="1"/>
    <col min="10" max="10" width="10.625" style="0" bestFit="1" customWidth="1"/>
    <col min="11" max="11" width="10.625" style="0" customWidth="1"/>
    <col min="12" max="12" width="10.75390625" style="0" customWidth="1"/>
  </cols>
  <sheetData>
    <row r="1" spans="9:12" ht="12.75">
      <c r="I1" s="199"/>
      <c r="J1" s="107" t="s">
        <v>439</v>
      </c>
      <c r="L1" t="s">
        <v>476</v>
      </c>
    </row>
    <row r="2" spans="9:10" ht="12.75">
      <c r="I2" s="199"/>
      <c r="J2" s="107" t="s">
        <v>474</v>
      </c>
    </row>
    <row r="3" spans="9:10" ht="12.75">
      <c r="I3" s="199"/>
      <c r="J3" s="107" t="s">
        <v>192</v>
      </c>
    </row>
    <row r="4" spans="9:10" ht="12.75">
      <c r="I4" s="199"/>
      <c r="J4" s="107" t="s">
        <v>475</v>
      </c>
    </row>
    <row r="6" spans="1:12" ht="34.5" customHeight="1">
      <c r="A6" s="411" t="s">
        <v>446</v>
      </c>
      <c r="B6" s="411"/>
      <c r="C6" s="411"/>
      <c r="D6" s="411"/>
      <c r="E6" s="411"/>
      <c r="F6" s="411"/>
      <c r="G6" s="411"/>
      <c r="H6" s="411"/>
      <c r="I6" s="20"/>
      <c r="J6" s="20"/>
      <c r="K6" s="20"/>
      <c r="L6" s="20"/>
    </row>
    <row r="7" spans="1:12" ht="13.5" thickBot="1">
      <c r="A7" s="287"/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</row>
    <row r="8" spans="1:12" ht="21" customHeight="1" thickBot="1">
      <c r="A8" s="422" t="s">
        <v>0</v>
      </c>
      <c r="B8" s="422" t="s">
        <v>1</v>
      </c>
      <c r="C8" s="425" t="s">
        <v>188</v>
      </c>
      <c r="D8" s="428" t="s">
        <v>3</v>
      </c>
      <c r="E8" s="384" t="s">
        <v>440</v>
      </c>
      <c r="F8" s="418" t="s">
        <v>441</v>
      </c>
      <c r="G8" s="286"/>
      <c r="H8" s="433" t="s">
        <v>442</v>
      </c>
      <c r="I8" s="434"/>
      <c r="J8" s="434"/>
      <c r="K8" s="435"/>
      <c r="L8" s="384" t="s">
        <v>440</v>
      </c>
    </row>
    <row r="9" spans="1:12" ht="12.75">
      <c r="A9" s="423"/>
      <c r="B9" s="423"/>
      <c r="C9" s="426"/>
      <c r="D9" s="429"/>
      <c r="E9" s="385"/>
      <c r="F9" s="420"/>
      <c r="G9" s="350" t="s">
        <v>426</v>
      </c>
      <c r="H9" s="418" t="s">
        <v>81</v>
      </c>
      <c r="I9" s="444" t="s">
        <v>427</v>
      </c>
      <c r="J9" s="445"/>
      <c r="K9" s="446"/>
      <c r="L9" s="385"/>
    </row>
    <row r="10" spans="1:12" ht="22.5" customHeight="1">
      <c r="A10" s="423"/>
      <c r="B10" s="423"/>
      <c r="C10" s="426"/>
      <c r="D10" s="429"/>
      <c r="E10" s="431" t="s">
        <v>428</v>
      </c>
      <c r="F10" s="420"/>
      <c r="G10" s="442" t="s">
        <v>429</v>
      </c>
      <c r="H10" s="420"/>
      <c r="I10" s="447" t="s">
        <v>294</v>
      </c>
      <c r="J10" s="449" t="s">
        <v>431</v>
      </c>
      <c r="K10" s="451" t="s">
        <v>432</v>
      </c>
      <c r="L10" s="431" t="s">
        <v>433</v>
      </c>
    </row>
    <row r="11" spans="1:12" ht="16.5" customHeight="1" thickBot="1">
      <c r="A11" s="424"/>
      <c r="B11" s="423"/>
      <c r="C11" s="427"/>
      <c r="D11" s="430"/>
      <c r="E11" s="432"/>
      <c r="F11" s="421"/>
      <c r="G11" s="443"/>
      <c r="H11" s="421"/>
      <c r="I11" s="448"/>
      <c r="J11" s="450"/>
      <c r="K11" s="452"/>
      <c r="L11" s="432"/>
    </row>
    <row r="12" spans="1:12" ht="19.5" customHeight="1" thickBot="1">
      <c r="A12" s="351">
        <v>801</v>
      </c>
      <c r="B12" s="352"/>
      <c r="C12" s="295"/>
      <c r="D12" s="353" t="s">
        <v>127</v>
      </c>
      <c r="E12" s="297"/>
      <c r="F12" s="298"/>
      <c r="G12" s="299"/>
      <c r="H12" s="300"/>
      <c r="I12" s="297"/>
      <c r="J12" s="301"/>
      <c r="K12" s="301"/>
      <c r="L12" s="302"/>
    </row>
    <row r="13" spans="1:12" ht="45" customHeight="1">
      <c r="A13" s="303"/>
      <c r="B13" s="304">
        <v>80101</v>
      </c>
      <c r="C13" s="305"/>
      <c r="D13" s="354" t="s">
        <v>62</v>
      </c>
      <c r="E13" s="355">
        <v>0</v>
      </c>
      <c r="F13" s="167">
        <v>36560</v>
      </c>
      <c r="G13" s="308">
        <v>0</v>
      </c>
      <c r="H13" s="309">
        <f>SUM(I13:K13)</f>
        <v>36560</v>
      </c>
      <c r="I13" s="310">
        <v>0</v>
      </c>
      <c r="J13" s="310">
        <v>0</v>
      </c>
      <c r="K13" s="310">
        <v>36560</v>
      </c>
      <c r="L13" s="311">
        <f>SUM(E13+F13-H13)</f>
        <v>0</v>
      </c>
    </row>
    <row r="14" spans="1:12" ht="45" customHeight="1" hidden="1">
      <c r="A14" s="303"/>
      <c r="B14" s="304"/>
      <c r="C14" s="197"/>
      <c r="D14" s="356" t="s">
        <v>435</v>
      </c>
      <c r="E14" s="357"/>
      <c r="F14" s="148"/>
      <c r="G14" s="308"/>
      <c r="H14" s="313"/>
      <c r="I14" s="310"/>
      <c r="J14" s="310"/>
      <c r="K14" s="310"/>
      <c r="L14" s="314"/>
    </row>
    <row r="15" spans="1:12" ht="45" customHeight="1" hidden="1">
      <c r="A15" s="303"/>
      <c r="B15" s="304"/>
      <c r="C15" s="197"/>
      <c r="D15" s="356" t="s">
        <v>443</v>
      </c>
      <c r="E15" s="357"/>
      <c r="F15" s="148"/>
      <c r="G15" s="308"/>
      <c r="H15" s="313"/>
      <c r="I15" s="310"/>
      <c r="J15" s="310"/>
      <c r="K15" s="310"/>
      <c r="L15" s="314"/>
    </row>
    <row r="16" spans="1:12" ht="45" customHeight="1" thickBot="1">
      <c r="A16" s="303"/>
      <c r="B16" s="358">
        <v>80110</v>
      </c>
      <c r="C16" s="197"/>
      <c r="D16" s="359" t="s">
        <v>63</v>
      </c>
      <c r="E16" s="355">
        <v>0</v>
      </c>
      <c r="F16" s="167">
        <v>9829</v>
      </c>
      <c r="G16" s="308">
        <v>0</v>
      </c>
      <c r="H16" s="309">
        <f>SUM(I16:K16)</f>
        <v>9829</v>
      </c>
      <c r="I16" s="310">
        <v>0</v>
      </c>
      <c r="J16" s="310">
        <v>0</v>
      </c>
      <c r="K16" s="310">
        <v>9829</v>
      </c>
      <c r="L16" s="311">
        <f>SUM(E16+F16-H16)</f>
        <v>0</v>
      </c>
    </row>
    <row r="17" spans="1:12" ht="13.5" hidden="1" thickBot="1">
      <c r="A17" s="303"/>
      <c r="B17" s="333"/>
      <c r="C17" s="197"/>
      <c r="D17" s="360" t="s">
        <v>435</v>
      </c>
      <c r="E17" s="321"/>
      <c r="F17" s="321"/>
      <c r="G17" s="322"/>
      <c r="H17" s="323"/>
      <c r="I17" s="321"/>
      <c r="J17" s="321"/>
      <c r="K17" s="321"/>
      <c r="L17" s="324"/>
    </row>
    <row r="18" spans="1:12" ht="13.5" hidden="1" thickBot="1">
      <c r="A18" s="303"/>
      <c r="B18" s="304"/>
      <c r="C18" s="197"/>
      <c r="D18" s="361" t="s">
        <v>443</v>
      </c>
      <c r="E18" s="325"/>
      <c r="F18" s="325"/>
      <c r="G18" s="326"/>
      <c r="H18" s="327"/>
      <c r="I18" s="325"/>
      <c r="J18" s="325"/>
      <c r="K18" s="325"/>
      <c r="L18" s="328"/>
    </row>
    <row r="19" spans="1:12" ht="19.5" customHeight="1" thickBot="1">
      <c r="A19" s="351">
        <v>854</v>
      </c>
      <c r="B19" s="362"/>
      <c r="C19" s="295"/>
      <c r="D19" s="353" t="s">
        <v>71</v>
      </c>
      <c r="E19" s="297"/>
      <c r="F19" s="298"/>
      <c r="G19" s="299"/>
      <c r="H19" s="300"/>
      <c r="I19" s="297"/>
      <c r="J19" s="301"/>
      <c r="K19" s="301"/>
      <c r="L19" s="302"/>
    </row>
    <row r="20" spans="1:12" ht="45" customHeight="1" thickBot="1">
      <c r="A20" s="303"/>
      <c r="B20" s="358">
        <v>85401</v>
      </c>
      <c r="C20" s="197"/>
      <c r="D20" s="363" t="s">
        <v>72</v>
      </c>
      <c r="E20" s="355">
        <v>0</v>
      </c>
      <c r="F20" s="167">
        <v>88514</v>
      </c>
      <c r="G20" s="308">
        <v>0</v>
      </c>
      <c r="H20" s="309">
        <f>SUM(I20:K20)</f>
        <v>88514</v>
      </c>
      <c r="I20" s="310">
        <v>0</v>
      </c>
      <c r="J20" s="310">
        <v>0</v>
      </c>
      <c r="K20" s="310">
        <v>88514</v>
      </c>
      <c r="L20" s="311">
        <f>SUM(E20+F20-H20)</f>
        <v>0</v>
      </c>
    </row>
    <row r="21" spans="1:12" ht="13.5" hidden="1" thickBot="1">
      <c r="A21" s="303"/>
      <c r="B21" s="312"/>
      <c r="C21" s="197"/>
      <c r="D21" s="364" t="s">
        <v>435</v>
      </c>
      <c r="E21" s="365"/>
      <c r="F21" s="329"/>
      <c r="G21" s="330"/>
      <c r="H21" s="331"/>
      <c r="I21" s="329"/>
      <c r="J21" s="329"/>
      <c r="K21" s="329"/>
      <c r="L21" s="332"/>
    </row>
    <row r="22" spans="1:12" ht="34.5" hidden="1" thickBot="1">
      <c r="A22" s="303"/>
      <c r="B22" s="312"/>
      <c r="C22" s="197"/>
      <c r="D22" s="366" t="s">
        <v>437</v>
      </c>
      <c r="E22" s="367"/>
      <c r="F22" s="325"/>
      <c r="G22" s="326"/>
      <c r="H22" s="327"/>
      <c r="I22" s="325"/>
      <c r="J22" s="325"/>
      <c r="K22" s="325"/>
      <c r="L22" s="328"/>
    </row>
    <row r="23" spans="1:12" s="92" customFormat="1" ht="28.5" customHeight="1" thickBot="1">
      <c r="A23" s="439" t="s">
        <v>81</v>
      </c>
      <c r="B23" s="440"/>
      <c r="C23" s="440"/>
      <c r="D23" s="441"/>
      <c r="E23" s="368">
        <f aca="true" t="shared" si="0" ref="E23:L23">SUM(E13,E16,E20)</f>
        <v>0</v>
      </c>
      <c r="F23" s="343">
        <f t="shared" si="0"/>
        <v>134903</v>
      </c>
      <c r="G23" s="369">
        <f t="shared" si="0"/>
        <v>0</v>
      </c>
      <c r="H23" s="345">
        <f t="shared" si="0"/>
        <v>134903</v>
      </c>
      <c r="I23" s="370">
        <f t="shared" si="0"/>
        <v>0</v>
      </c>
      <c r="J23" s="370">
        <f t="shared" si="0"/>
        <v>0</v>
      </c>
      <c r="K23" s="370">
        <f t="shared" si="0"/>
        <v>134903</v>
      </c>
      <c r="L23" s="346">
        <f t="shared" si="0"/>
        <v>0</v>
      </c>
    </row>
    <row r="24" s="347" customFormat="1" ht="11.25">
      <c r="D24" s="348"/>
    </row>
    <row r="25" s="152" customFormat="1" ht="11.25"/>
    <row r="26" spans="10:11" s="152" customFormat="1" ht="11.25">
      <c r="J26" s="107"/>
      <c r="K26" s="107"/>
    </row>
    <row r="27" spans="10:11" s="152" customFormat="1" ht="11.25">
      <c r="J27" s="107"/>
      <c r="K27" s="107"/>
    </row>
    <row r="28" spans="10:11" s="152" customFormat="1" ht="11.25">
      <c r="J28" s="107"/>
      <c r="K28" s="107"/>
    </row>
    <row r="29" spans="10:11" s="152" customFormat="1" ht="11.25">
      <c r="J29" s="107"/>
      <c r="K29" s="107"/>
    </row>
    <row r="30" s="152" customFormat="1" ht="11.25"/>
  </sheetData>
  <mergeCells count="18">
    <mergeCell ref="L10:L11"/>
    <mergeCell ref="H8:K8"/>
    <mergeCell ref="L8:L9"/>
    <mergeCell ref="E10:E11"/>
    <mergeCell ref="I9:K9"/>
    <mergeCell ref="H9:H11"/>
    <mergeCell ref="I10:I11"/>
    <mergeCell ref="J10:J11"/>
    <mergeCell ref="K10:K11"/>
    <mergeCell ref="F8:F11"/>
    <mergeCell ref="A23:D23"/>
    <mergeCell ref="A6:H6"/>
    <mergeCell ref="E8:E9"/>
    <mergeCell ref="G10:G11"/>
    <mergeCell ref="A8:A11"/>
    <mergeCell ref="B8:B11"/>
    <mergeCell ref="C8:C11"/>
    <mergeCell ref="D8:D11"/>
  </mergeCells>
  <printOptions horizontalCentered="1"/>
  <pageMargins left="0.7874015748031497" right="0.7874015748031497" top="0.984251968503937" bottom="0.7874015748031497" header="0.5118110236220472" footer="0.31496062992125984"/>
  <pageSetup firstPageNumber="1" useFirstPageNumber="1" horizontalDpi="600" verticalDpi="600" orientation="landscape" paperSize="9" r:id="rId1"/>
  <headerFooter alignWithMargins="0"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D1">
      <selection activeCell="K12" sqref="K12"/>
    </sheetView>
  </sheetViews>
  <sheetFormatPr defaultColWidth="9.00390625" defaultRowHeight="12.75"/>
  <cols>
    <col min="1" max="1" width="6.125" style="251" customWidth="1"/>
    <col min="2" max="2" width="21.00390625" style="0" customWidth="1"/>
    <col min="3" max="3" width="13.00390625" style="0" customWidth="1"/>
    <col min="4" max="4" width="13.125" style="0" customWidth="1"/>
    <col min="5" max="5" width="13.875" style="0" customWidth="1"/>
    <col min="6" max="6" width="13.625" style="0" customWidth="1"/>
    <col min="7" max="7" width="14.00390625" style="0" customWidth="1"/>
    <col min="8" max="8" width="13.125" style="0" customWidth="1"/>
    <col min="9" max="9" width="13.25390625" style="0" customWidth="1"/>
  </cols>
  <sheetData>
    <row r="1" spans="5:9" ht="12.75">
      <c r="E1" s="250"/>
      <c r="F1" s="208"/>
      <c r="G1" s="107"/>
      <c r="H1" s="107" t="s">
        <v>195</v>
      </c>
      <c r="I1" s="43"/>
    </row>
    <row r="2" spans="5:9" ht="12.75">
      <c r="E2" s="250"/>
      <c r="F2" s="129"/>
      <c r="G2" s="107"/>
      <c r="H2" s="107" t="s">
        <v>474</v>
      </c>
      <c r="I2" s="50"/>
    </row>
    <row r="3" spans="5:9" ht="12.75">
      <c r="E3" s="250"/>
      <c r="F3" s="208"/>
      <c r="G3" s="107"/>
      <c r="H3" s="107" t="s">
        <v>192</v>
      </c>
      <c r="I3" s="43"/>
    </row>
    <row r="4" spans="5:9" ht="12.75">
      <c r="E4" s="250"/>
      <c r="F4" s="129"/>
      <c r="G4" s="107"/>
      <c r="H4" s="107" t="s">
        <v>475</v>
      </c>
      <c r="I4" s="50"/>
    </row>
    <row r="5" spans="1:6" ht="15">
      <c r="A5" s="461" t="s">
        <v>397</v>
      </c>
      <c r="B5" s="461"/>
      <c r="C5" s="461"/>
      <c r="D5" s="461"/>
      <c r="E5" s="461"/>
      <c r="F5" s="461"/>
    </row>
    <row r="7" spans="1:9" ht="11.25" customHeight="1">
      <c r="A7" s="400" t="s">
        <v>188</v>
      </c>
      <c r="B7" s="400" t="s">
        <v>3</v>
      </c>
      <c r="C7" s="462" t="s">
        <v>368</v>
      </c>
      <c r="D7" s="462" t="s">
        <v>369</v>
      </c>
      <c r="E7" s="462" t="s">
        <v>370</v>
      </c>
      <c r="F7" s="463" t="s">
        <v>415</v>
      </c>
      <c r="G7" s="463"/>
      <c r="H7" s="463"/>
      <c r="I7" s="464"/>
    </row>
    <row r="8" spans="1:9" ht="12.75">
      <c r="A8" s="400"/>
      <c r="B8" s="400"/>
      <c r="C8" s="462"/>
      <c r="D8" s="462"/>
      <c r="E8" s="462"/>
      <c r="F8" s="465">
        <v>2006</v>
      </c>
      <c r="G8" s="465"/>
      <c r="H8" s="465">
        <v>2007</v>
      </c>
      <c r="I8" s="465"/>
    </row>
    <row r="9" spans="1:9" ht="10.5" customHeight="1">
      <c r="A9" s="400"/>
      <c r="B9" s="400"/>
      <c r="C9" s="462"/>
      <c r="D9" s="462"/>
      <c r="E9" s="462"/>
      <c r="F9" s="101" t="s">
        <v>413</v>
      </c>
      <c r="G9" s="101" t="s">
        <v>414</v>
      </c>
      <c r="H9" s="101" t="s">
        <v>413</v>
      </c>
      <c r="I9" s="101" t="s">
        <v>414</v>
      </c>
    </row>
    <row r="10" spans="1:9" ht="61.5" customHeight="1">
      <c r="A10" s="2">
        <v>1</v>
      </c>
      <c r="B10" s="166" t="s">
        <v>371</v>
      </c>
      <c r="C10" s="253" t="s">
        <v>372</v>
      </c>
      <c r="D10" s="254" t="s">
        <v>373</v>
      </c>
      <c r="E10" s="59">
        <v>22268198.69</v>
      </c>
      <c r="F10" s="59">
        <v>2948488.1</v>
      </c>
      <c r="G10" s="59">
        <v>5717635.6</v>
      </c>
      <c r="H10" s="13">
        <v>0</v>
      </c>
      <c r="I10" s="13">
        <v>0</v>
      </c>
    </row>
    <row r="11" spans="1:9" ht="22.5" customHeight="1">
      <c r="A11" s="2"/>
      <c r="B11" s="252" t="s">
        <v>374</v>
      </c>
      <c r="C11" s="453" t="s">
        <v>375</v>
      </c>
      <c r="D11" s="453"/>
      <c r="E11" s="453"/>
      <c r="F11" s="453"/>
      <c r="G11" s="453"/>
      <c r="H11" s="453"/>
      <c r="I11" s="453"/>
    </row>
    <row r="12" spans="1:9" ht="24">
      <c r="A12" s="2" t="s">
        <v>376</v>
      </c>
      <c r="B12" s="166" t="s">
        <v>377</v>
      </c>
      <c r="C12" s="253" t="s">
        <v>372</v>
      </c>
      <c r="D12" s="254" t="s">
        <v>378</v>
      </c>
      <c r="E12" s="59">
        <v>4500000</v>
      </c>
      <c r="F12" s="13">
        <v>220000</v>
      </c>
      <c r="G12" s="13">
        <v>0</v>
      </c>
      <c r="H12" s="13">
        <v>0</v>
      </c>
      <c r="I12" s="13">
        <v>0</v>
      </c>
    </row>
    <row r="13" spans="1:9" ht="19.5" customHeight="1">
      <c r="A13" s="2"/>
      <c r="B13" s="252" t="s">
        <v>374</v>
      </c>
      <c r="C13" s="453" t="s">
        <v>379</v>
      </c>
      <c r="D13" s="453"/>
      <c r="E13" s="453"/>
      <c r="F13" s="453"/>
      <c r="G13" s="453"/>
      <c r="H13" s="255"/>
      <c r="I13" s="255"/>
    </row>
    <row r="14" spans="1:9" s="201" customFormat="1" ht="49.5" customHeight="1">
      <c r="A14" s="2" t="s">
        <v>380</v>
      </c>
      <c r="B14" s="166" t="s">
        <v>381</v>
      </c>
      <c r="C14" s="253" t="s">
        <v>372</v>
      </c>
      <c r="D14" s="254" t="s">
        <v>382</v>
      </c>
      <c r="E14" s="74">
        <v>700000</v>
      </c>
      <c r="F14" s="35">
        <v>80000</v>
      </c>
      <c r="G14" s="259"/>
      <c r="H14" s="35">
        <v>250000</v>
      </c>
      <c r="I14" s="259"/>
    </row>
    <row r="15" spans="1:9" s="201" customFormat="1" ht="19.5" customHeight="1">
      <c r="A15" s="2"/>
      <c r="B15" s="252" t="s">
        <v>374</v>
      </c>
      <c r="C15" s="457" t="s">
        <v>383</v>
      </c>
      <c r="D15" s="457"/>
      <c r="E15" s="457"/>
      <c r="F15" s="457"/>
      <c r="G15" s="457"/>
      <c r="H15" s="457"/>
      <c r="I15" s="457"/>
    </row>
    <row r="16" spans="1:9" ht="56.25">
      <c r="A16" s="2" t="s">
        <v>384</v>
      </c>
      <c r="B16" s="285" t="s">
        <v>385</v>
      </c>
      <c r="C16" s="257" t="s">
        <v>372</v>
      </c>
      <c r="D16" s="254" t="s">
        <v>386</v>
      </c>
      <c r="E16" s="74">
        <v>2000000</v>
      </c>
      <c r="F16" s="35"/>
      <c r="G16" s="256"/>
      <c r="H16" s="35">
        <v>250000</v>
      </c>
      <c r="I16" s="256"/>
    </row>
    <row r="17" spans="1:9" ht="19.5" customHeight="1">
      <c r="A17" s="258"/>
      <c r="B17" s="252" t="s">
        <v>374</v>
      </c>
      <c r="C17" s="458" t="s">
        <v>383</v>
      </c>
      <c r="D17" s="459"/>
      <c r="E17" s="459"/>
      <c r="F17" s="459"/>
      <c r="G17" s="459"/>
      <c r="H17" s="459"/>
      <c r="I17" s="460"/>
    </row>
    <row r="18" spans="1:9" s="201" customFormat="1" ht="24">
      <c r="A18" s="2" t="s">
        <v>387</v>
      </c>
      <c r="B18" s="166" t="s">
        <v>388</v>
      </c>
      <c r="C18" s="253" t="s">
        <v>372</v>
      </c>
      <c r="D18" s="254" t="s">
        <v>389</v>
      </c>
      <c r="E18" s="74">
        <v>8000000</v>
      </c>
      <c r="F18" s="35"/>
      <c r="G18" s="259"/>
      <c r="H18" s="35">
        <v>1400000</v>
      </c>
      <c r="I18" s="35">
        <v>2100000</v>
      </c>
    </row>
    <row r="19" spans="1:9" ht="19.5" customHeight="1">
      <c r="A19" s="258"/>
      <c r="B19" s="252" t="s">
        <v>374</v>
      </c>
      <c r="C19" s="458" t="s">
        <v>390</v>
      </c>
      <c r="D19" s="459"/>
      <c r="E19" s="459"/>
      <c r="F19" s="459"/>
      <c r="G19" s="459"/>
      <c r="H19" s="459"/>
      <c r="I19" s="460"/>
    </row>
    <row r="20" spans="1:9" s="201" customFormat="1" ht="24">
      <c r="A20" s="2" t="s">
        <v>391</v>
      </c>
      <c r="B20" s="166" t="s">
        <v>392</v>
      </c>
      <c r="C20" s="253" t="s">
        <v>372</v>
      </c>
      <c r="D20" s="254">
        <v>2007</v>
      </c>
      <c r="E20" s="74">
        <v>2000000</v>
      </c>
      <c r="F20" s="35"/>
      <c r="G20" s="259"/>
      <c r="H20" s="35">
        <v>1400000</v>
      </c>
      <c r="I20" s="35">
        <v>600000</v>
      </c>
    </row>
    <row r="21" spans="1:9" ht="19.5" customHeight="1">
      <c r="A21" s="258"/>
      <c r="B21" s="252" t="s">
        <v>374</v>
      </c>
      <c r="C21" s="454" t="s">
        <v>390</v>
      </c>
      <c r="D21" s="455"/>
      <c r="E21" s="455"/>
      <c r="F21" s="455"/>
      <c r="G21" s="455"/>
      <c r="H21" s="455"/>
      <c r="I21" s="456"/>
    </row>
    <row r="22" spans="1:9" s="201" customFormat="1" ht="24">
      <c r="A22" s="2" t="s">
        <v>393</v>
      </c>
      <c r="B22" s="36" t="s">
        <v>394</v>
      </c>
      <c r="C22" s="253" t="s">
        <v>372</v>
      </c>
      <c r="D22" s="254" t="s">
        <v>395</v>
      </c>
      <c r="E22" s="74">
        <v>162720</v>
      </c>
      <c r="F22" s="35">
        <v>70000</v>
      </c>
      <c r="G22" s="35"/>
      <c r="H22" s="35">
        <v>68170</v>
      </c>
      <c r="I22" s="35"/>
    </row>
    <row r="23" spans="1:9" ht="19.5" customHeight="1">
      <c r="A23" s="258"/>
      <c r="B23" s="252" t="s">
        <v>374</v>
      </c>
      <c r="C23" s="454" t="s">
        <v>396</v>
      </c>
      <c r="D23" s="455"/>
      <c r="E23" s="455"/>
      <c r="F23" s="455"/>
      <c r="G23" s="455"/>
      <c r="H23" s="455"/>
      <c r="I23" s="456"/>
    </row>
    <row r="24" ht="12.75">
      <c r="B24" s="220"/>
    </row>
  </sheetData>
  <mergeCells count="16">
    <mergeCell ref="A5:F5"/>
    <mergeCell ref="A7:A9"/>
    <mergeCell ref="B7:B9"/>
    <mergeCell ref="C7:C9"/>
    <mergeCell ref="D7:D9"/>
    <mergeCell ref="E7:E9"/>
    <mergeCell ref="F7:I7"/>
    <mergeCell ref="F8:G8"/>
    <mergeCell ref="H8:I8"/>
    <mergeCell ref="C11:I11"/>
    <mergeCell ref="C13:G13"/>
    <mergeCell ref="C21:I21"/>
    <mergeCell ref="C23:I23"/>
    <mergeCell ref="C15:I15"/>
    <mergeCell ref="C17:I17"/>
    <mergeCell ref="C19:I19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5">
      <selection activeCell="I1" sqref="A1:I12"/>
    </sheetView>
  </sheetViews>
  <sheetFormatPr defaultColWidth="9.00390625" defaultRowHeight="12.75"/>
  <cols>
    <col min="1" max="1" width="6.125" style="251" customWidth="1"/>
    <col min="2" max="2" width="21.00390625" style="0" customWidth="1"/>
    <col min="3" max="3" width="13.00390625" style="0" customWidth="1"/>
    <col min="4" max="4" width="13.125" style="0" customWidth="1"/>
    <col min="5" max="5" width="13.875" style="0" customWidth="1"/>
    <col min="6" max="6" width="13.625" style="0" customWidth="1"/>
    <col min="7" max="7" width="14.00390625" style="0" customWidth="1"/>
    <col min="8" max="8" width="13.125" style="0" customWidth="1"/>
    <col min="9" max="9" width="13.25390625" style="0" customWidth="1"/>
  </cols>
  <sheetData>
    <row r="1" spans="5:9" ht="12.75">
      <c r="E1" s="250"/>
      <c r="F1" s="208"/>
      <c r="G1" s="107"/>
      <c r="H1" s="107" t="s">
        <v>455</v>
      </c>
      <c r="I1" s="43"/>
    </row>
    <row r="2" spans="5:9" ht="12.75">
      <c r="E2" s="250"/>
      <c r="F2" s="129"/>
      <c r="G2" s="107"/>
      <c r="H2" s="107" t="s">
        <v>474</v>
      </c>
      <c r="I2" s="50"/>
    </row>
    <row r="3" spans="5:9" ht="12.75">
      <c r="E3" s="250"/>
      <c r="F3" s="208"/>
      <c r="G3" s="107"/>
      <c r="H3" s="107" t="s">
        <v>192</v>
      </c>
      <c r="I3" s="43"/>
    </row>
    <row r="4" spans="5:9" ht="12.75">
      <c r="E4" s="250"/>
      <c r="F4" s="129"/>
      <c r="G4" s="107"/>
      <c r="H4" s="107" t="s">
        <v>475</v>
      </c>
      <c r="I4" s="50"/>
    </row>
    <row r="5" spans="1:6" ht="15" customHeight="1">
      <c r="A5" s="466" t="s">
        <v>470</v>
      </c>
      <c r="B5" s="466"/>
      <c r="C5" s="466"/>
      <c r="D5" s="466"/>
      <c r="E5" s="466"/>
      <c r="F5" s="466"/>
    </row>
    <row r="6" spans="1:6" ht="27" customHeight="1">
      <c r="A6" s="467"/>
      <c r="B6" s="467"/>
      <c r="C6" s="467"/>
      <c r="D6" s="467"/>
      <c r="E6" s="467"/>
      <c r="F6" s="467"/>
    </row>
    <row r="7" spans="1:9" ht="21" customHeight="1">
      <c r="A7" s="400" t="s">
        <v>188</v>
      </c>
      <c r="B7" s="400" t="s">
        <v>3</v>
      </c>
      <c r="C7" s="462" t="s">
        <v>368</v>
      </c>
      <c r="D7" s="462" t="s">
        <v>369</v>
      </c>
      <c r="E7" s="462" t="s">
        <v>370</v>
      </c>
      <c r="F7" s="463" t="s">
        <v>415</v>
      </c>
      <c r="G7" s="463"/>
      <c r="H7" s="463"/>
      <c r="I7" s="464"/>
    </row>
    <row r="8" spans="1:9" ht="24.75" customHeight="1">
      <c r="A8" s="400"/>
      <c r="B8" s="400"/>
      <c r="C8" s="462"/>
      <c r="D8" s="462"/>
      <c r="E8" s="462"/>
      <c r="F8" s="465">
        <v>2006</v>
      </c>
      <c r="G8" s="465"/>
      <c r="H8" s="465">
        <v>2007</v>
      </c>
      <c r="I8" s="465"/>
    </row>
    <row r="9" spans="1:9" ht="23.25" customHeight="1">
      <c r="A9" s="400"/>
      <c r="B9" s="400"/>
      <c r="C9" s="462"/>
      <c r="D9" s="462"/>
      <c r="E9" s="462"/>
      <c r="F9" s="101" t="s">
        <v>413</v>
      </c>
      <c r="G9" s="101" t="s">
        <v>414</v>
      </c>
      <c r="H9" s="101" t="s">
        <v>413</v>
      </c>
      <c r="I9" s="101" t="s">
        <v>414</v>
      </c>
    </row>
    <row r="10" spans="1:9" ht="77.25" customHeight="1">
      <c r="A10" s="2">
        <v>1</v>
      </c>
      <c r="B10" s="166" t="s">
        <v>371</v>
      </c>
      <c r="C10" s="253" t="s">
        <v>372</v>
      </c>
      <c r="D10" s="254" t="s">
        <v>373</v>
      </c>
      <c r="E10" s="59">
        <v>22268198.69</v>
      </c>
      <c r="F10" s="59">
        <v>2948488.1</v>
      </c>
      <c r="G10" s="59">
        <v>5717635.6</v>
      </c>
      <c r="H10" s="13">
        <v>0</v>
      </c>
      <c r="I10" s="13">
        <v>0</v>
      </c>
    </row>
    <row r="11" spans="1:9" ht="39" customHeight="1">
      <c r="A11" s="2"/>
      <c r="B11" s="252" t="s">
        <v>374</v>
      </c>
      <c r="C11" s="468" t="s">
        <v>375</v>
      </c>
      <c r="D11" s="468"/>
      <c r="E11" s="468"/>
      <c r="F11" s="468"/>
      <c r="G11" s="468"/>
      <c r="H11" s="468"/>
      <c r="I11" s="468"/>
    </row>
    <row r="12" ht="12.75">
      <c r="B12" s="220" t="s">
        <v>456</v>
      </c>
    </row>
  </sheetData>
  <mergeCells count="10">
    <mergeCell ref="A5:F6"/>
    <mergeCell ref="C11:I11"/>
    <mergeCell ref="A7:A9"/>
    <mergeCell ref="B7:B9"/>
    <mergeCell ref="C7:C9"/>
    <mergeCell ref="D7:D9"/>
    <mergeCell ref="E7:E9"/>
    <mergeCell ref="F7:I7"/>
    <mergeCell ref="F8:G8"/>
    <mergeCell ref="H8:I8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I16" sqref="A1:I16"/>
    </sheetView>
  </sheetViews>
  <sheetFormatPr defaultColWidth="9.00390625" defaultRowHeight="12.75"/>
  <cols>
    <col min="1" max="1" width="5.75390625" style="9" customWidth="1"/>
    <col min="2" max="2" width="8.25390625" style="9" customWidth="1"/>
    <col min="3" max="3" width="5.75390625" style="9" customWidth="1"/>
    <col min="4" max="4" width="32.625" style="9" customWidth="1"/>
    <col min="5" max="5" width="11.625" style="9" hidden="1" customWidth="1"/>
    <col min="6" max="6" width="11.375" style="0" hidden="1" customWidth="1"/>
    <col min="7" max="7" width="11.625" style="0" hidden="1" customWidth="1"/>
    <col min="8" max="8" width="17.00390625" style="0" customWidth="1"/>
  </cols>
  <sheetData>
    <row r="1" spans="5:8" ht="12.75">
      <c r="E1" s="43"/>
      <c r="H1" s="43" t="s">
        <v>410</v>
      </c>
    </row>
    <row r="2" spans="5:8" ht="12.75">
      <c r="E2" s="50"/>
      <c r="H2" s="50" t="s">
        <v>474</v>
      </c>
    </row>
    <row r="3" spans="5:8" ht="12.75">
      <c r="E3" s="50"/>
      <c r="H3" s="50" t="s">
        <v>192</v>
      </c>
    </row>
    <row r="4" spans="5:8" ht="12.75">
      <c r="E4" s="50"/>
      <c r="H4" s="50" t="s">
        <v>475</v>
      </c>
    </row>
    <row r="8" spans="1:5" ht="43.5" customHeight="1">
      <c r="A8" s="469" t="s">
        <v>457</v>
      </c>
      <c r="B8" s="469"/>
      <c r="C8" s="469"/>
      <c r="D8" s="469"/>
      <c r="E8" s="349"/>
    </row>
    <row r="9" spans="1:5" ht="17.25" customHeight="1">
      <c r="A9" s="73"/>
      <c r="B9" s="73"/>
      <c r="C9" s="73"/>
      <c r="D9" s="73"/>
      <c r="E9" s="73"/>
    </row>
    <row r="10" spans="1:5" ht="12.75">
      <c r="A10" s="73"/>
      <c r="B10" s="73"/>
      <c r="C10" s="73"/>
      <c r="D10" s="73"/>
      <c r="E10" s="51"/>
    </row>
    <row r="11" spans="1:8" s="9" customFormat="1" ht="24.75" customHeight="1">
      <c r="A11" s="21" t="s">
        <v>0</v>
      </c>
      <c r="B11" s="21" t="s">
        <v>1</v>
      </c>
      <c r="C11" s="21" t="s">
        <v>2</v>
      </c>
      <c r="D11" s="27" t="s">
        <v>3</v>
      </c>
      <c r="E11" s="34" t="s">
        <v>165</v>
      </c>
      <c r="F11" s="2" t="s">
        <v>312</v>
      </c>
      <c r="G11" s="2" t="s">
        <v>305</v>
      </c>
      <c r="H11" s="202" t="s">
        <v>168</v>
      </c>
    </row>
    <row r="12" spans="1:8" ht="24.75" customHeight="1">
      <c r="A12" s="60" t="s">
        <v>18</v>
      </c>
      <c r="B12" s="6"/>
      <c r="C12" s="38"/>
      <c r="D12" s="58" t="s">
        <v>19</v>
      </c>
      <c r="E12" s="74">
        <f>SUM(E13)</f>
        <v>75000</v>
      </c>
      <c r="F12" s="74">
        <f>SUM(F13)</f>
        <v>75000</v>
      </c>
      <c r="G12" s="74">
        <f>SUM(G13)</f>
        <v>75000</v>
      </c>
      <c r="H12" s="74">
        <f>SUM(H13)</f>
        <v>75000</v>
      </c>
    </row>
    <row r="13" spans="1:8" ht="24.75" customHeight="1">
      <c r="A13" s="3"/>
      <c r="B13" s="3">
        <v>75011</v>
      </c>
      <c r="C13" s="5"/>
      <c r="D13" s="32" t="s">
        <v>20</v>
      </c>
      <c r="E13" s="35">
        <f>SUM(E14:E15)</f>
        <v>75000</v>
      </c>
      <c r="F13" s="35">
        <f>SUM(F14:F15)</f>
        <v>75000</v>
      </c>
      <c r="G13" s="35">
        <f>SUM(G14:G15)</f>
        <v>75000</v>
      </c>
      <c r="H13" s="35">
        <f>SUM(H14:H15)</f>
        <v>75000</v>
      </c>
    </row>
    <row r="14" spans="1:8" ht="24" customHeight="1">
      <c r="A14" s="3"/>
      <c r="B14" s="3"/>
      <c r="C14" s="376" t="s">
        <v>267</v>
      </c>
      <c r="D14" s="32" t="s">
        <v>183</v>
      </c>
      <c r="E14" s="35">
        <v>0</v>
      </c>
      <c r="F14" s="35">
        <v>75000</v>
      </c>
      <c r="G14" s="35"/>
      <c r="H14" s="35">
        <f>SUM(E14+F14-G14)</f>
        <v>75000</v>
      </c>
    </row>
    <row r="15" spans="1:8" ht="0.75" customHeight="1" hidden="1">
      <c r="A15" s="3"/>
      <c r="B15" s="4"/>
      <c r="C15" s="11">
        <v>2350</v>
      </c>
      <c r="D15" s="32" t="s">
        <v>194</v>
      </c>
      <c r="E15" s="35">
        <v>75000</v>
      </c>
      <c r="F15" s="255"/>
      <c r="G15" s="35">
        <v>75000</v>
      </c>
      <c r="H15" s="35">
        <f>SUM(E15+F15-G15)</f>
        <v>0</v>
      </c>
    </row>
    <row r="16" spans="1:8" ht="24.75" customHeight="1">
      <c r="A16" s="14"/>
      <c r="B16" s="14"/>
      <c r="C16" s="14"/>
      <c r="D16" s="27" t="s">
        <v>81</v>
      </c>
      <c r="E16" s="74">
        <f>SUM(E12)</f>
        <v>75000</v>
      </c>
      <c r="F16" s="74">
        <f>SUM(F12)</f>
        <v>75000</v>
      </c>
      <c r="G16" s="74">
        <f>SUM(G12)</f>
        <v>75000</v>
      </c>
      <c r="H16" s="74">
        <f>SUM(H12)</f>
        <v>75000</v>
      </c>
    </row>
  </sheetData>
  <mergeCells count="1">
    <mergeCell ref="A8:D8"/>
  </mergeCells>
  <printOptions horizontalCentered="1"/>
  <pageMargins left="0.7874015748031497" right="0.7874015748031497" top="0.7874015748031497" bottom="0.7874015748031497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0"/>
  <sheetViews>
    <sheetView workbookViewId="0" topLeftCell="A279">
      <selection activeCell="L12" sqref="L12"/>
    </sheetView>
  </sheetViews>
  <sheetFormatPr defaultColWidth="9.00390625" defaultRowHeight="12.75"/>
  <cols>
    <col min="1" max="1" width="5.75390625" style="9" customWidth="1"/>
    <col min="2" max="2" width="8.125" style="9" customWidth="1"/>
    <col min="3" max="3" width="5.625" style="9" customWidth="1"/>
    <col min="4" max="4" width="33.625" style="9" customWidth="1"/>
    <col min="5" max="5" width="14.375" style="55" hidden="1" customWidth="1"/>
    <col min="6" max="6" width="11.00390625" style="181" hidden="1" customWidth="1"/>
    <col min="7" max="7" width="11.625" style="184" hidden="1" customWidth="1"/>
    <col min="8" max="8" width="20.75390625" style="91" customWidth="1"/>
  </cols>
  <sheetData>
    <row r="1" spans="1:8" ht="12.75">
      <c r="A1" s="217"/>
      <c r="B1" s="217"/>
      <c r="C1" s="217"/>
      <c r="D1" s="217"/>
      <c r="E1" s="107"/>
      <c r="G1" s="107"/>
      <c r="H1" s="107" t="s">
        <v>280</v>
      </c>
    </row>
    <row r="2" spans="1:8" ht="12.75">
      <c r="A2" s="217"/>
      <c r="B2" s="217"/>
      <c r="C2" s="217"/>
      <c r="D2" s="217"/>
      <c r="E2" s="107"/>
      <c r="G2" s="107"/>
      <c r="H2" s="107" t="s">
        <v>474</v>
      </c>
    </row>
    <row r="3" spans="1:8" ht="12.75">
      <c r="A3" s="217"/>
      <c r="B3" s="217"/>
      <c r="C3" s="217"/>
      <c r="D3" s="217"/>
      <c r="E3" s="107"/>
      <c r="G3" s="107"/>
      <c r="H3" s="107" t="s">
        <v>192</v>
      </c>
    </row>
    <row r="4" spans="1:8" ht="12.75">
      <c r="A4" s="217"/>
      <c r="B4" s="217"/>
      <c r="C4" s="217"/>
      <c r="D4" s="217"/>
      <c r="E4" s="107"/>
      <c r="G4" s="107"/>
      <c r="H4" s="107" t="s">
        <v>475</v>
      </c>
    </row>
    <row r="5" spans="1:7" ht="12.75">
      <c r="A5" s="217"/>
      <c r="B5" s="217"/>
      <c r="C5" s="217"/>
      <c r="D5" s="217"/>
      <c r="E5" s="188"/>
      <c r="F5" s="188"/>
      <c r="G5" s="193"/>
    </row>
    <row r="6" spans="1:7" ht="21" customHeight="1">
      <c r="A6" s="395" t="s">
        <v>419</v>
      </c>
      <c r="B6" s="395"/>
      <c r="C6" s="395"/>
      <c r="D6" s="395"/>
      <c r="E6" s="181"/>
      <c r="G6" s="193"/>
    </row>
    <row r="7" spans="1:7" ht="12.75">
      <c r="A7" s="33"/>
      <c r="B7" s="33"/>
      <c r="C7" s="33"/>
      <c r="D7" s="218"/>
      <c r="E7" s="243"/>
      <c r="G7" s="193"/>
    </row>
    <row r="8" spans="1:8" s="9" customFormat="1" ht="24.75" customHeight="1">
      <c r="A8" s="65" t="s">
        <v>0</v>
      </c>
      <c r="B8" s="65" t="s">
        <v>1</v>
      </c>
      <c r="C8" s="65" t="s">
        <v>2</v>
      </c>
      <c r="D8" s="65" t="s">
        <v>3</v>
      </c>
      <c r="E8" s="111" t="s">
        <v>165</v>
      </c>
      <c r="F8" s="12" t="s">
        <v>304</v>
      </c>
      <c r="G8" s="12" t="s">
        <v>305</v>
      </c>
      <c r="H8" s="37" t="s">
        <v>168</v>
      </c>
    </row>
    <row r="9" spans="1:8" s="20" customFormat="1" ht="24.75" customHeight="1">
      <c r="A9" s="63" t="s">
        <v>4</v>
      </c>
      <c r="B9" s="112"/>
      <c r="C9" s="113"/>
      <c r="D9" s="66" t="s">
        <v>5</v>
      </c>
      <c r="E9" s="67">
        <f>SUM(E10)</f>
        <v>7000</v>
      </c>
      <c r="F9" s="118">
        <f aca="true" t="shared" si="0" ref="F9:H10">SUM(F10)</f>
        <v>0</v>
      </c>
      <c r="G9" s="118">
        <f t="shared" si="0"/>
        <v>0</v>
      </c>
      <c r="H9" s="118">
        <f t="shared" si="0"/>
        <v>7000</v>
      </c>
    </row>
    <row r="10" spans="1:8" s="43" customFormat="1" ht="21.75" customHeight="1">
      <c r="A10" s="120"/>
      <c r="B10" s="138" t="s">
        <v>83</v>
      </c>
      <c r="C10" s="123"/>
      <c r="D10" s="68" t="s">
        <v>84</v>
      </c>
      <c r="E10" s="136">
        <f>SUM(E11)</f>
        <v>7000</v>
      </c>
      <c r="F10" s="150">
        <f t="shared" si="0"/>
        <v>0</v>
      </c>
      <c r="G10" s="150">
        <f t="shared" si="0"/>
        <v>0</v>
      </c>
      <c r="H10" s="150">
        <f t="shared" si="0"/>
        <v>7000</v>
      </c>
    </row>
    <row r="11" spans="1:8" s="43" customFormat="1" ht="39" customHeight="1">
      <c r="A11" s="139"/>
      <c r="B11" s="140"/>
      <c r="C11" s="123">
        <v>2850</v>
      </c>
      <c r="D11" s="68" t="s">
        <v>85</v>
      </c>
      <c r="E11" s="136">
        <v>7000</v>
      </c>
      <c r="F11" s="141"/>
      <c r="G11" s="141"/>
      <c r="H11" s="148">
        <f>SUM(E11+F11-G11)</f>
        <v>7000</v>
      </c>
    </row>
    <row r="12" spans="1:8" s="8" customFormat="1" ht="24.75" customHeight="1">
      <c r="A12" s="63" t="s">
        <v>88</v>
      </c>
      <c r="B12" s="64"/>
      <c r="C12" s="65"/>
      <c r="D12" s="66" t="s">
        <v>89</v>
      </c>
      <c r="E12" s="67">
        <f>E13</f>
        <v>851510</v>
      </c>
      <c r="F12" s="67">
        <f>F13</f>
        <v>85000</v>
      </c>
      <c r="G12" s="67">
        <f>G13</f>
        <v>0</v>
      </c>
      <c r="H12" s="67">
        <f>H13</f>
        <v>936510</v>
      </c>
    </row>
    <row r="13" spans="1:8" s="43" customFormat="1" ht="21.75" customHeight="1">
      <c r="A13" s="120"/>
      <c r="B13" s="138" t="s">
        <v>90</v>
      </c>
      <c r="C13" s="142"/>
      <c r="D13" s="68" t="s">
        <v>91</v>
      </c>
      <c r="E13" s="136">
        <f>SUM(E14:E18)</f>
        <v>851510</v>
      </c>
      <c r="F13" s="136">
        <f>SUM(F14:F18)</f>
        <v>85000</v>
      </c>
      <c r="G13" s="136">
        <f>SUM(G14:G18)</f>
        <v>0</v>
      </c>
      <c r="H13" s="136">
        <f>SUM(H14:H18)</f>
        <v>936510</v>
      </c>
    </row>
    <row r="14" spans="1:8" s="43" customFormat="1" ht="21.75" customHeight="1">
      <c r="A14" s="120"/>
      <c r="B14" s="143"/>
      <c r="C14" s="120">
        <v>4210</v>
      </c>
      <c r="D14" s="68" t="s">
        <v>86</v>
      </c>
      <c r="E14" s="136">
        <v>22030</v>
      </c>
      <c r="F14" s="141"/>
      <c r="G14" s="141"/>
      <c r="H14" s="148">
        <f>SUM(E14+F14-G14)</f>
        <v>22030</v>
      </c>
    </row>
    <row r="15" spans="1:8" s="43" customFormat="1" ht="21.75" customHeight="1">
      <c r="A15" s="120"/>
      <c r="B15" s="143"/>
      <c r="C15" s="120">
        <v>4270</v>
      </c>
      <c r="D15" s="68" t="s">
        <v>92</v>
      </c>
      <c r="E15" s="136">
        <v>82000</v>
      </c>
      <c r="F15" s="198"/>
      <c r="G15" s="198"/>
      <c r="H15" s="148">
        <f>SUM(E15+F15-G15)</f>
        <v>82000</v>
      </c>
    </row>
    <row r="16" spans="1:8" s="43" customFormat="1" ht="21.75" customHeight="1">
      <c r="A16" s="120"/>
      <c r="B16" s="143"/>
      <c r="C16" s="120">
        <v>4300</v>
      </c>
      <c r="D16" s="68" t="s">
        <v>93</v>
      </c>
      <c r="E16" s="136">
        <f>158480-20000</f>
        <v>138480</v>
      </c>
      <c r="F16" s="141">
        <v>35000</v>
      </c>
      <c r="G16" s="141"/>
      <c r="H16" s="148">
        <f>SUM(E16+F16-G16)</f>
        <v>173480</v>
      </c>
    </row>
    <row r="17" spans="1:8" s="43" customFormat="1" ht="21.75" customHeight="1">
      <c r="A17" s="120"/>
      <c r="B17" s="143"/>
      <c r="C17" s="120">
        <v>6050</v>
      </c>
      <c r="D17" s="68" t="s">
        <v>87</v>
      </c>
      <c r="E17" s="136">
        <f>589000+20000</f>
        <v>609000</v>
      </c>
      <c r="F17" s="141"/>
      <c r="G17" s="141"/>
      <c r="H17" s="148">
        <f>SUM(E17+F17-G17)</f>
        <v>609000</v>
      </c>
    </row>
    <row r="18" spans="1:8" s="43" customFormat="1" ht="21.75" customHeight="1">
      <c r="A18" s="120"/>
      <c r="B18" s="143"/>
      <c r="C18" s="120">
        <v>6800</v>
      </c>
      <c r="D18" s="68" t="s">
        <v>447</v>
      </c>
      <c r="E18" s="136">
        <v>0</v>
      </c>
      <c r="F18" s="141">
        <v>50000</v>
      </c>
      <c r="G18" s="141"/>
      <c r="H18" s="148">
        <f>SUM(E18+F18-G18)</f>
        <v>50000</v>
      </c>
    </row>
    <row r="19" spans="1:8" s="8" customFormat="1" ht="24.75" customHeight="1">
      <c r="A19" s="63" t="s">
        <v>11</v>
      </c>
      <c r="B19" s="64"/>
      <c r="C19" s="65"/>
      <c r="D19" s="66" t="s">
        <v>12</v>
      </c>
      <c r="E19" s="67">
        <f>SUM(E20,E22,E25,E27)</f>
        <v>364050</v>
      </c>
      <c r="F19" s="67">
        <f>SUM(F20,F22,F25,F27)</f>
        <v>28000</v>
      </c>
      <c r="G19" s="67">
        <f>SUM(G20,G22,G25,G27)</f>
        <v>0</v>
      </c>
      <c r="H19" s="67">
        <f>SUM(H20,H22,H25,H27)</f>
        <v>392050</v>
      </c>
    </row>
    <row r="20" spans="1:8" s="43" customFormat="1" ht="24">
      <c r="A20" s="120"/>
      <c r="B20" s="143">
        <v>70004</v>
      </c>
      <c r="C20" s="142"/>
      <c r="D20" s="68" t="s">
        <v>319</v>
      </c>
      <c r="E20" s="136">
        <f>SUM(E21)</f>
        <v>44000</v>
      </c>
      <c r="F20" s="136">
        <f>SUM(F21)</f>
        <v>0</v>
      </c>
      <c r="G20" s="136">
        <f>SUM(G21)</f>
        <v>0</v>
      </c>
      <c r="H20" s="136">
        <f>SUM(H21)</f>
        <v>44000</v>
      </c>
    </row>
    <row r="21" spans="1:8" s="43" customFormat="1" ht="21.75" customHeight="1">
      <c r="A21" s="120"/>
      <c r="B21" s="143"/>
      <c r="C21" s="142">
        <v>4300</v>
      </c>
      <c r="D21" s="68" t="s">
        <v>93</v>
      </c>
      <c r="E21" s="136">
        <v>44000</v>
      </c>
      <c r="F21" s="136"/>
      <c r="G21" s="136"/>
      <c r="H21" s="148">
        <f>SUM(E21+F21-G21)</f>
        <v>44000</v>
      </c>
    </row>
    <row r="22" spans="1:8" s="43" customFormat="1" ht="22.5" customHeight="1">
      <c r="A22" s="120"/>
      <c r="B22" s="138" t="s">
        <v>13</v>
      </c>
      <c r="C22" s="142"/>
      <c r="D22" s="68" t="s">
        <v>197</v>
      </c>
      <c r="E22" s="136">
        <f>SUM(E23:E24)</f>
        <v>89750</v>
      </c>
      <c r="F22" s="136">
        <f>SUM(F23:F24)</f>
        <v>0</v>
      </c>
      <c r="G22" s="136">
        <f>SUM(G23:G24)</f>
        <v>0</v>
      </c>
      <c r="H22" s="136">
        <f>SUM(H23:H24)</f>
        <v>89750</v>
      </c>
    </row>
    <row r="23" spans="1:8" s="43" customFormat="1" ht="21.75" customHeight="1">
      <c r="A23" s="120"/>
      <c r="B23" s="138"/>
      <c r="C23" s="142">
        <v>4510</v>
      </c>
      <c r="D23" s="68" t="s">
        <v>191</v>
      </c>
      <c r="E23" s="136">
        <v>7750</v>
      </c>
      <c r="F23" s="141"/>
      <c r="G23" s="141"/>
      <c r="H23" s="148">
        <f aca="true" t="shared" si="1" ref="H23:H31">SUM(E23+F23-G23)</f>
        <v>7750</v>
      </c>
    </row>
    <row r="24" spans="1:8" s="43" customFormat="1" ht="21.75" customHeight="1">
      <c r="A24" s="120"/>
      <c r="B24" s="143"/>
      <c r="C24" s="120">
        <v>4300</v>
      </c>
      <c r="D24" s="68" t="s">
        <v>93</v>
      </c>
      <c r="E24" s="136">
        <v>82000</v>
      </c>
      <c r="F24" s="141"/>
      <c r="G24" s="141"/>
      <c r="H24" s="148">
        <f t="shared" si="1"/>
        <v>82000</v>
      </c>
    </row>
    <row r="25" spans="1:8" s="43" customFormat="1" ht="21.75" customHeight="1">
      <c r="A25" s="120"/>
      <c r="B25" s="143">
        <v>70021</v>
      </c>
      <c r="C25" s="120"/>
      <c r="D25" s="68" t="s">
        <v>263</v>
      </c>
      <c r="E25" s="136">
        <f>SUM(E26:E26)</f>
        <v>100000</v>
      </c>
      <c r="F25" s="136">
        <f>SUM(F26:F26)</f>
        <v>0</v>
      </c>
      <c r="G25" s="136">
        <f>SUM(G26:G26)</f>
        <v>0</v>
      </c>
      <c r="H25" s="136">
        <f>SUM(H26:H26)</f>
        <v>100000</v>
      </c>
    </row>
    <row r="26" spans="1:8" s="43" customFormat="1" ht="21.75" customHeight="1">
      <c r="A26" s="120"/>
      <c r="B26" s="143"/>
      <c r="C26" s="120">
        <v>4300</v>
      </c>
      <c r="D26" s="68" t="s">
        <v>93</v>
      </c>
      <c r="E26" s="136">
        <v>100000</v>
      </c>
      <c r="F26" s="141"/>
      <c r="G26" s="141"/>
      <c r="H26" s="148">
        <f t="shared" si="1"/>
        <v>100000</v>
      </c>
    </row>
    <row r="27" spans="1:8" s="43" customFormat="1" ht="21.75" customHeight="1">
      <c r="A27" s="120"/>
      <c r="B27" s="138">
        <v>70095</v>
      </c>
      <c r="C27" s="142"/>
      <c r="D27" s="68" t="s">
        <v>6</v>
      </c>
      <c r="E27" s="136">
        <f>SUM(E28:E31)</f>
        <v>130300</v>
      </c>
      <c r="F27" s="136">
        <f>SUM(F28:F31)</f>
        <v>28000</v>
      </c>
      <c r="G27" s="136">
        <f>SUM(G28:G31)</f>
        <v>0</v>
      </c>
      <c r="H27" s="136">
        <f>SUM(H28:H31)</f>
        <v>158300</v>
      </c>
    </row>
    <row r="28" spans="1:8" s="43" customFormat="1" ht="21.75" customHeight="1">
      <c r="A28" s="120"/>
      <c r="B28" s="138"/>
      <c r="C28" s="142">
        <v>4260</v>
      </c>
      <c r="D28" s="68" t="s">
        <v>109</v>
      </c>
      <c r="E28" s="136">
        <v>300</v>
      </c>
      <c r="F28" s="141"/>
      <c r="G28" s="141"/>
      <c r="H28" s="148">
        <f t="shared" si="1"/>
        <v>300</v>
      </c>
    </row>
    <row r="29" spans="1:8" s="43" customFormat="1" ht="21.75" customHeight="1">
      <c r="A29" s="120"/>
      <c r="B29" s="138"/>
      <c r="C29" s="142">
        <v>4300</v>
      </c>
      <c r="D29" s="68" t="s">
        <v>93</v>
      </c>
      <c r="E29" s="136">
        <v>0</v>
      </c>
      <c r="F29" s="141">
        <v>28000</v>
      </c>
      <c r="G29" s="141"/>
      <c r="H29" s="148">
        <f t="shared" si="1"/>
        <v>28000</v>
      </c>
    </row>
    <row r="30" spans="1:8" s="43" customFormat="1" ht="24">
      <c r="A30" s="120"/>
      <c r="B30" s="138"/>
      <c r="C30" s="142">
        <v>4590</v>
      </c>
      <c r="D30" s="68" t="s">
        <v>318</v>
      </c>
      <c r="E30" s="136">
        <v>30000</v>
      </c>
      <c r="F30" s="141"/>
      <c r="G30" s="141"/>
      <c r="H30" s="148">
        <f t="shared" si="1"/>
        <v>30000</v>
      </c>
    </row>
    <row r="31" spans="1:8" s="43" customFormat="1" ht="21.75" customHeight="1">
      <c r="A31" s="120"/>
      <c r="B31" s="138"/>
      <c r="C31" s="120">
        <v>6050</v>
      </c>
      <c r="D31" s="68" t="s">
        <v>87</v>
      </c>
      <c r="E31" s="136">
        <v>100000</v>
      </c>
      <c r="F31" s="141"/>
      <c r="G31" s="141"/>
      <c r="H31" s="148">
        <f t="shared" si="1"/>
        <v>100000</v>
      </c>
    </row>
    <row r="32" spans="1:8" s="8" customFormat="1" ht="21" customHeight="1">
      <c r="A32" s="63" t="s">
        <v>16</v>
      </c>
      <c r="B32" s="64"/>
      <c r="C32" s="65"/>
      <c r="D32" s="66" t="s">
        <v>94</v>
      </c>
      <c r="E32" s="67">
        <f>SUM(E33,E36)</f>
        <v>152350</v>
      </c>
      <c r="F32" s="67">
        <f>SUM(F33,F36)</f>
        <v>0</v>
      </c>
      <c r="G32" s="67">
        <f>SUM(G33,G36)</f>
        <v>0</v>
      </c>
      <c r="H32" s="67">
        <f>SUM(H33,H36)</f>
        <v>152350</v>
      </c>
    </row>
    <row r="33" spans="1:8" s="43" customFormat="1" ht="21.75" customHeight="1">
      <c r="A33" s="120"/>
      <c r="B33" s="138" t="s">
        <v>95</v>
      </c>
      <c r="C33" s="142"/>
      <c r="D33" s="68" t="s">
        <v>96</v>
      </c>
      <c r="E33" s="136">
        <f>SUM(E34:E35)</f>
        <v>150000</v>
      </c>
      <c r="F33" s="136">
        <f>SUM(F34:F35)</f>
        <v>0</v>
      </c>
      <c r="G33" s="136">
        <f>SUM(G34:G35)</f>
        <v>0</v>
      </c>
      <c r="H33" s="136">
        <f>SUM(H34:H35)</f>
        <v>150000</v>
      </c>
    </row>
    <row r="34" spans="1:8" s="43" customFormat="1" ht="21.75" customHeight="1">
      <c r="A34" s="120"/>
      <c r="B34" s="138"/>
      <c r="C34" s="142">
        <v>4170</v>
      </c>
      <c r="D34" s="68" t="s">
        <v>294</v>
      </c>
      <c r="E34" s="136">
        <v>5000</v>
      </c>
      <c r="F34" s="141"/>
      <c r="G34" s="141"/>
      <c r="H34" s="148">
        <f>SUM(E34+F34-G34)</f>
        <v>5000</v>
      </c>
    </row>
    <row r="35" spans="1:8" s="43" customFormat="1" ht="21.75" customHeight="1">
      <c r="A35" s="120"/>
      <c r="B35" s="138"/>
      <c r="C35" s="120">
        <v>4300</v>
      </c>
      <c r="D35" s="68" t="s">
        <v>93</v>
      </c>
      <c r="E35" s="136">
        <v>145000</v>
      </c>
      <c r="F35" s="141"/>
      <c r="G35" s="141"/>
      <c r="H35" s="148">
        <f>SUM(E35+F35-G35)</f>
        <v>145000</v>
      </c>
    </row>
    <row r="36" spans="1:8" s="43" customFormat="1" ht="20.25" customHeight="1">
      <c r="A36" s="120"/>
      <c r="B36" s="138">
        <v>71035</v>
      </c>
      <c r="C36" s="120"/>
      <c r="D36" s="68" t="s">
        <v>17</v>
      </c>
      <c r="E36" s="136">
        <f>SUM(E37:E38)</f>
        <v>2350</v>
      </c>
      <c r="F36" s="136">
        <f>SUM(F37:F38)</f>
        <v>0</v>
      </c>
      <c r="G36" s="136">
        <f>SUM(G37:G38)</f>
        <v>0</v>
      </c>
      <c r="H36" s="136">
        <f>SUM(H37:H38)</f>
        <v>2350</v>
      </c>
    </row>
    <row r="37" spans="1:8" s="43" customFormat="1" ht="21" customHeight="1">
      <c r="A37" s="120"/>
      <c r="B37" s="138"/>
      <c r="C37" s="120">
        <v>4260</v>
      </c>
      <c r="D37" s="68" t="s">
        <v>109</v>
      </c>
      <c r="E37" s="136">
        <v>1350</v>
      </c>
      <c r="F37" s="141"/>
      <c r="G37" s="141"/>
      <c r="H37" s="148">
        <f>SUM(E37+F37-G37)</f>
        <v>1350</v>
      </c>
    </row>
    <row r="38" spans="1:8" s="43" customFormat="1" ht="21" customHeight="1">
      <c r="A38" s="120"/>
      <c r="B38" s="138"/>
      <c r="C38" s="120">
        <v>4300</v>
      </c>
      <c r="D38" s="68" t="s">
        <v>93</v>
      </c>
      <c r="E38" s="136">
        <v>1000</v>
      </c>
      <c r="F38" s="141"/>
      <c r="G38" s="141"/>
      <c r="H38" s="148">
        <f>SUM(E38+F38-G38)</f>
        <v>1000</v>
      </c>
    </row>
    <row r="39" spans="1:8" s="8" customFormat="1" ht="24.75" customHeight="1">
      <c r="A39" s="63" t="s">
        <v>18</v>
      </c>
      <c r="B39" s="64"/>
      <c r="C39" s="65"/>
      <c r="D39" s="66" t="s">
        <v>97</v>
      </c>
      <c r="E39" s="67">
        <f>SUM(E40,E46,E53,E72)</f>
        <v>4293518</v>
      </c>
      <c r="F39" s="67">
        <f>SUM(F40,F46,F53,F72)</f>
        <v>0</v>
      </c>
      <c r="G39" s="67">
        <f>SUM(G40,G46,G53,G72)</f>
        <v>0</v>
      </c>
      <c r="H39" s="67">
        <f>SUM(H40,H46,H53,H72)</f>
        <v>4293518</v>
      </c>
    </row>
    <row r="40" spans="1:8" s="43" customFormat="1" ht="21.75" customHeight="1">
      <c r="A40" s="120"/>
      <c r="B40" s="138">
        <v>75011</v>
      </c>
      <c r="C40" s="142"/>
      <c r="D40" s="68" t="s">
        <v>20</v>
      </c>
      <c r="E40" s="136">
        <f>SUM(E41:E45)</f>
        <v>144800</v>
      </c>
      <c r="F40" s="136">
        <f>SUM(F41:F45)</f>
        <v>0</v>
      </c>
      <c r="G40" s="136">
        <f>SUM(G41:G45)</f>
        <v>0</v>
      </c>
      <c r="H40" s="136">
        <f>SUM(H41:H45)</f>
        <v>144800</v>
      </c>
    </row>
    <row r="41" spans="1:8" s="43" customFormat="1" ht="21" customHeight="1">
      <c r="A41" s="120"/>
      <c r="B41" s="143"/>
      <c r="C41" s="120">
        <v>4010</v>
      </c>
      <c r="D41" s="68" t="s">
        <v>98</v>
      </c>
      <c r="E41" s="136">
        <v>102150</v>
      </c>
      <c r="F41" s="141"/>
      <c r="G41" s="141"/>
      <c r="H41" s="148">
        <f>SUM(E41+F41-G41)</f>
        <v>102150</v>
      </c>
    </row>
    <row r="42" spans="1:8" s="43" customFormat="1" ht="21" customHeight="1">
      <c r="A42" s="120"/>
      <c r="B42" s="143"/>
      <c r="C42" s="120">
        <v>4040</v>
      </c>
      <c r="D42" s="68" t="s">
        <v>99</v>
      </c>
      <c r="E42" s="136">
        <v>16000</v>
      </c>
      <c r="F42" s="141"/>
      <c r="G42" s="141"/>
      <c r="H42" s="148">
        <f>SUM(E42+F42-G42)</f>
        <v>16000</v>
      </c>
    </row>
    <row r="43" spans="1:8" s="43" customFormat="1" ht="21" customHeight="1">
      <c r="A43" s="120"/>
      <c r="B43" s="143"/>
      <c r="C43" s="120">
        <v>4110</v>
      </c>
      <c r="D43" s="68" t="s">
        <v>100</v>
      </c>
      <c r="E43" s="136">
        <v>17500</v>
      </c>
      <c r="F43" s="141"/>
      <c r="G43" s="141"/>
      <c r="H43" s="148">
        <f>SUM(E43+F43-G43)</f>
        <v>17500</v>
      </c>
    </row>
    <row r="44" spans="1:8" s="43" customFormat="1" ht="21" customHeight="1">
      <c r="A44" s="120"/>
      <c r="B44" s="143"/>
      <c r="C44" s="120">
        <v>4120</v>
      </c>
      <c r="D44" s="68" t="s">
        <v>101</v>
      </c>
      <c r="E44" s="136">
        <v>2500</v>
      </c>
      <c r="F44" s="141"/>
      <c r="G44" s="141"/>
      <c r="H44" s="148">
        <f>SUM(E44+F44-G44)</f>
        <v>2500</v>
      </c>
    </row>
    <row r="45" spans="1:8" s="43" customFormat="1" ht="21" customHeight="1">
      <c r="A45" s="120"/>
      <c r="B45" s="143"/>
      <c r="C45" s="123">
        <v>4440</v>
      </c>
      <c r="D45" s="68" t="s">
        <v>102</v>
      </c>
      <c r="E45" s="136">
        <v>6650</v>
      </c>
      <c r="F45" s="141"/>
      <c r="G45" s="141"/>
      <c r="H45" s="148">
        <f>SUM(E45+F45-G45)</f>
        <v>6650</v>
      </c>
    </row>
    <row r="46" spans="1:8" s="43" customFormat="1" ht="21.75" customHeight="1">
      <c r="A46" s="142"/>
      <c r="B46" s="138" t="s">
        <v>105</v>
      </c>
      <c r="C46" s="142"/>
      <c r="D46" s="68" t="s">
        <v>198</v>
      </c>
      <c r="E46" s="136">
        <f>SUM(E47:E52)</f>
        <v>227000</v>
      </c>
      <c r="F46" s="136">
        <f>SUM(F47:F52)</f>
        <v>0</v>
      </c>
      <c r="G46" s="136">
        <f>SUM(G47:G52)</f>
        <v>0</v>
      </c>
      <c r="H46" s="136">
        <f>SUM(H47:H52)</f>
        <v>227000</v>
      </c>
    </row>
    <row r="47" spans="1:8" s="43" customFormat="1" ht="21" customHeight="1">
      <c r="A47" s="142"/>
      <c r="B47" s="138"/>
      <c r="C47" s="120">
        <v>3030</v>
      </c>
      <c r="D47" s="68" t="s">
        <v>103</v>
      </c>
      <c r="E47" s="136">
        <v>182000</v>
      </c>
      <c r="F47" s="141"/>
      <c r="G47" s="141"/>
      <c r="H47" s="148">
        <f aca="true" t="shared" si="2" ref="H47:H52">SUM(E47+F47-G47)</f>
        <v>182000</v>
      </c>
    </row>
    <row r="48" spans="1:8" s="43" customFormat="1" ht="21" customHeight="1">
      <c r="A48" s="142"/>
      <c r="B48" s="138"/>
      <c r="C48" s="120">
        <v>4170</v>
      </c>
      <c r="D48" s="68" t="s">
        <v>294</v>
      </c>
      <c r="E48" s="136">
        <v>2000</v>
      </c>
      <c r="F48" s="141"/>
      <c r="G48" s="141"/>
      <c r="H48" s="148">
        <f t="shared" si="2"/>
        <v>2000</v>
      </c>
    </row>
    <row r="49" spans="1:8" s="43" customFormat="1" ht="21" customHeight="1">
      <c r="A49" s="142"/>
      <c r="B49" s="138"/>
      <c r="C49" s="120">
        <v>4210</v>
      </c>
      <c r="D49" s="68" t="s">
        <v>106</v>
      </c>
      <c r="E49" s="136">
        <v>17500</v>
      </c>
      <c r="F49" s="141"/>
      <c r="G49" s="141"/>
      <c r="H49" s="148">
        <f t="shared" si="2"/>
        <v>17500</v>
      </c>
    </row>
    <row r="50" spans="1:8" s="43" customFormat="1" ht="21" customHeight="1">
      <c r="A50" s="142"/>
      <c r="B50" s="138"/>
      <c r="C50" s="120">
        <v>4300</v>
      </c>
      <c r="D50" s="68" t="s">
        <v>93</v>
      </c>
      <c r="E50" s="136">
        <v>22000</v>
      </c>
      <c r="F50" s="141"/>
      <c r="G50" s="141"/>
      <c r="H50" s="148">
        <f t="shared" si="2"/>
        <v>22000</v>
      </c>
    </row>
    <row r="51" spans="1:8" s="43" customFormat="1" ht="21" customHeight="1">
      <c r="A51" s="142"/>
      <c r="B51" s="138"/>
      <c r="C51" s="120">
        <v>4410</v>
      </c>
      <c r="D51" s="68" t="s">
        <v>104</v>
      </c>
      <c r="E51" s="136">
        <v>3000</v>
      </c>
      <c r="F51" s="141"/>
      <c r="G51" s="141"/>
      <c r="H51" s="148">
        <f t="shared" si="2"/>
        <v>3000</v>
      </c>
    </row>
    <row r="52" spans="1:8" s="43" customFormat="1" ht="21" customHeight="1">
      <c r="A52" s="142"/>
      <c r="B52" s="138"/>
      <c r="C52" s="123">
        <v>4430</v>
      </c>
      <c r="D52" s="68" t="s">
        <v>108</v>
      </c>
      <c r="E52" s="136">
        <v>500</v>
      </c>
      <c r="F52" s="141"/>
      <c r="G52" s="141"/>
      <c r="H52" s="148">
        <f t="shared" si="2"/>
        <v>500</v>
      </c>
    </row>
    <row r="53" spans="1:8" s="43" customFormat="1" ht="21.75" customHeight="1">
      <c r="A53" s="142"/>
      <c r="B53" s="138" t="s">
        <v>21</v>
      </c>
      <c r="C53" s="142"/>
      <c r="D53" s="68" t="s">
        <v>22</v>
      </c>
      <c r="E53" s="136">
        <f>SUM(E54:E71)</f>
        <v>3594480</v>
      </c>
      <c r="F53" s="136">
        <f>SUM(F54:F71)</f>
        <v>0</v>
      </c>
      <c r="G53" s="136">
        <f>SUM(G54:G71)</f>
        <v>0</v>
      </c>
      <c r="H53" s="136">
        <f>SUM(H54:H71)</f>
        <v>3594480</v>
      </c>
    </row>
    <row r="54" spans="1:8" s="43" customFormat="1" ht="21" customHeight="1">
      <c r="A54" s="142"/>
      <c r="B54" s="138"/>
      <c r="C54" s="120">
        <v>3020</v>
      </c>
      <c r="D54" s="68" t="s">
        <v>287</v>
      </c>
      <c r="E54" s="136">
        <v>26500</v>
      </c>
      <c r="F54" s="141"/>
      <c r="G54" s="141"/>
      <c r="H54" s="148">
        <f aca="true" t="shared" si="3" ref="H54:H71">SUM(E54+F54-G54)</f>
        <v>26500</v>
      </c>
    </row>
    <row r="55" spans="1:8" s="43" customFormat="1" ht="21" customHeight="1">
      <c r="A55" s="142"/>
      <c r="B55" s="138"/>
      <c r="C55" s="120">
        <v>3030</v>
      </c>
      <c r="D55" s="68" t="s">
        <v>103</v>
      </c>
      <c r="E55" s="136">
        <v>60000</v>
      </c>
      <c r="F55" s="141"/>
      <c r="G55" s="141"/>
      <c r="H55" s="148">
        <f t="shared" si="3"/>
        <v>60000</v>
      </c>
    </row>
    <row r="56" spans="1:8" s="43" customFormat="1" ht="21" customHeight="1">
      <c r="A56" s="142"/>
      <c r="B56" s="138"/>
      <c r="C56" s="120">
        <v>4010</v>
      </c>
      <c r="D56" s="68" t="s">
        <v>98</v>
      </c>
      <c r="E56" s="136">
        <v>2145200</v>
      </c>
      <c r="F56" s="141"/>
      <c r="G56" s="141"/>
      <c r="H56" s="148">
        <f t="shared" si="3"/>
        <v>2145200</v>
      </c>
    </row>
    <row r="57" spans="1:8" s="43" customFormat="1" ht="21" customHeight="1">
      <c r="A57" s="142"/>
      <c r="B57" s="138"/>
      <c r="C57" s="120">
        <v>4040</v>
      </c>
      <c r="D57" s="68" t="s">
        <v>99</v>
      </c>
      <c r="E57" s="136">
        <v>110000</v>
      </c>
      <c r="F57" s="141"/>
      <c r="G57" s="141"/>
      <c r="H57" s="148">
        <f t="shared" si="3"/>
        <v>110000</v>
      </c>
    </row>
    <row r="58" spans="1:8" s="43" customFormat="1" ht="21" customHeight="1">
      <c r="A58" s="142"/>
      <c r="B58" s="138"/>
      <c r="C58" s="120">
        <v>4110</v>
      </c>
      <c r="D58" s="68" t="s">
        <v>100</v>
      </c>
      <c r="E58" s="136">
        <v>377000</v>
      </c>
      <c r="F58" s="141"/>
      <c r="G58" s="141"/>
      <c r="H58" s="148">
        <f t="shared" si="3"/>
        <v>377000</v>
      </c>
    </row>
    <row r="59" spans="1:8" s="43" customFormat="1" ht="21" customHeight="1">
      <c r="A59" s="142"/>
      <c r="B59" s="138"/>
      <c r="C59" s="120">
        <v>4120</v>
      </c>
      <c r="D59" s="68" t="s">
        <v>101</v>
      </c>
      <c r="E59" s="136">
        <v>53600</v>
      </c>
      <c r="F59" s="141"/>
      <c r="G59" s="141"/>
      <c r="H59" s="148">
        <f t="shared" si="3"/>
        <v>53600</v>
      </c>
    </row>
    <row r="60" spans="1:8" s="43" customFormat="1" ht="21" customHeight="1">
      <c r="A60" s="142"/>
      <c r="B60" s="138"/>
      <c r="C60" s="120">
        <v>4170</v>
      </c>
      <c r="D60" s="68" t="s">
        <v>294</v>
      </c>
      <c r="E60" s="136">
        <v>12500</v>
      </c>
      <c r="F60" s="141"/>
      <c r="G60" s="141"/>
      <c r="H60" s="148">
        <f t="shared" si="3"/>
        <v>12500</v>
      </c>
    </row>
    <row r="61" spans="1:8" s="43" customFormat="1" ht="21" customHeight="1">
      <c r="A61" s="142"/>
      <c r="B61" s="138"/>
      <c r="C61" s="120">
        <v>4210</v>
      </c>
      <c r="D61" s="68" t="s">
        <v>106</v>
      </c>
      <c r="E61" s="136">
        <f>188200+1400</f>
        <v>189600</v>
      </c>
      <c r="F61" s="141"/>
      <c r="G61" s="141"/>
      <c r="H61" s="148">
        <f t="shared" si="3"/>
        <v>189600</v>
      </c>
    </row>
    <row r="62" spans="1:8" s="43" customFormat="1" ht="21" customHeight="1">
      <c r="A62" s="142"/>
      <c r="B62" s="138"/>
      <c r="C62" s="120">
        <v>4260</v>
      </c>
      <c r="D62" s="68" t="s">
        <v>109</v>
      </c>
      <c r="E62" s="136">
        <v>79500</v>
      </c>
      <c r="F62" s="141"/>
      <c r="G62" s="141"/>
      <c r="H62" s="148">
        <f t="shared" si="3"/>
        <v>79500</v>
      </c>
    </row>
    <row r="63" spans="1:8" s="43" customFormat="1" ht="21" customHeight="1">
      <c r="A63" s="142"/>
      <c r="B63" s="138"/>
      <c r="C63" s="120">
        <v>4270</v>
      </c>
      <c r="D63" s="68" t="s">
        <v>92</v>
      </c>
      <c r="E63" s="136">
        <v>14000</v>
      </c>
      <c r="F63" s="141"/>
      <c r="G63" s="141"/>
      <c r="H63" s="148">
        <f t="shared" si="3"/>
        <v>14000</v>
      </c>
    </row>
    <row r="64" spans="1:8" s="43" customFormat="1" ht="21" customHeight="1">
      <c r="A64" s="142"/>
      <c r="B64" s="138"/>
      <c r="C64" s="120">
        <v>4280</v>
      </c>
      <c r="D64" s="68" t="s">
        <v>355</v>
      </c>
      <c r="E64" s="136">
        <v>8000</v>
      </c>
      <c r="F64" s="141"/>
      <c r="G64" s="141"/>
      <c r="H64" s="148">
        <f t="shared" si="3"/>
        <v>8000</v>
      </c>
    </row>
    <row r="65" spans="1:8" s="43" customFormat="1" ht="21" customHeight="1">
      <c r="A65" s="142"/>
      <c r="B65" s="138"/>
      <c r="C65" s="120">
        <v>4300</v>
      </c>
      <c r="D65" s="68" t="s">
        <v>93</v>
      </c>
      <c r="E65" s="136">
        <f>357550+8630-30000</f>
        <v>336180</v>
      </c>
      <c r="F65" s="141"/>
      <c r="G65" s="141"/>
      <c r="H65" s="148">
        <f t="shared" si="3"/>
        <v>336180</v>
      </c>
    </row>
    <row r="66" spans="1:8" s="43" customFormat="1" ht="21" customHeight="1">
      <c r="A66" s="142"/>
      <c r="B66" s="138"/>
      <c r="C66" s="120">
        <v>4350</v>
      </c>
      <c r="D66" s="68" t="s">
        <v>339</v>
      </c>
      <c r="E66" s="136">
        <v>4000</v>
      </c>
      <c r="F66" s="141"/>
      <c r="G66" s="141"/>
      <c r="H66" s="148">
        <f t="shared" si="3"/>
        <v>4000</v>
      </c>
    </row>
    <row r="67" spans="1:8" s="43" customFormat="1" ht="21" customHeight="1">
      <c r="A67" s="142"/>
      <c r="B67" s="138"/>
      <c r="C67" s="120">
        <v>4410</v>
      </c>
      <c r="D67" s="68" t="s">
        <v>104</v>
      </c>
      <c r="E67" s="136">
        <v>44000</v>
      </c>
      <c r="F67" s="141"/>
      <c r="G67" s="141"/>
      <c r="H67" s="148">
        <f t="shared" si="3"/>
        <v>44000</v>
      </c>
    </row>
    <row r="68" spans="1:8" s="43" customFormat="1" ht="21" customHeight="1">
      <c r="A68" s="142"/>
      <c r="B68" s="138"/>
      <c r="C68" s="142">
        <v>4420</v>
      </c>
      <c r="D68" s="68" t="s">
        <v>107</v>
      </c>
      <c r="E68" s="136">
        <v>5000</v>
      </c>
      <c r="F68" s="141"/>
      <c r="G68" s="141"/>
      <c r="H68" s="148">
        <f t="shared" si="3"/>
        <v>5000</v>
      </c>
    </row>
    <row r="69" spans="1:8" s="43" customFormat="1" ht="21" customHeight="1">
      <c r="A69" s="142"/>
      <c r="B69" s="138"/>
      <c r="C69" s="123">
        <v>4430</v>
      </c>
      <c r="D69" s="68" t="s">
        <v>108</v>
      </c>
      <c r="E69" s="136">
        <v>47300</v>
      </c>
      <c r="F69" s="141"/>
      <c r="G69" s="141"/>
      <c r="H69" s="148">
        <f t="shared" si="3"/>
        <v>47300</v>
      </c>
    </row>
    <row r="70" spans="1:8" s="43" customFormat="1" ht="21" customHeight="1">
      <c r="A70" s="142"/>
      <c r="B70" s="138"/>
      <c r="C70" s="123">
        <v>4440</v>
      </c>
      <c r="D70" s="68" t="s">
        <v>102</v>
      </c>
      <c r="E70" s="136">
        <v>52100</v>
      </c>
      <c r="F70" s="141"/>
      <c r="G70" s="141"/>
      <c r="H70" s="148">
        <f t="shared" si="3"/>
        <v>52100</v>
      </c>
    </row>
    <row r="71" spans="1:8" s="43" customFormat="1" ht="21" customHeight="1">
      <c r="A71" s="142"/>
      <c r="B71" s="138"/>
      <c r="C71" s="123">
        <v>6060</v>
      </c>
      <c r="D71" s="68" t="s">
        <v>110</v>
      </c>
      <c r="E71" s="136">
        <v>30000</v>
      </c>
      <c r="F71" s="141"/>
      <c r="G71" s="141"/>
      <c r="H71" s="148">
        <f t="shared" si="3"/>
        <v>30000</v>
      </c>
    </row>
    <row r="72" spans="1:8" s="43" customFormat="1" ht="24" customHeight="1">
      <c r="A72" s="142"/>
      <c r="B72" s="138">
        <v>75075</v>
      </c>
      <c r="C72" s="142"/>
      <c r="D72" s="68" t="s">
        <v>333</v>
      </c>
      <c r="E72" s="136">
        <f>SUM(E73:E80)</f>
        <v>327238</v>
      </c>
      <c r="F72" s="136">
        <f>SUM(F73:F80)</f>
        <v>0</v>
      </c>
      <c r="G72" s="136">
        <f>SUM(G73:G80)</f>
        <v>0</v>
      </c>
      <c r="H72" s="136">
        <f>SUM(H73:H80)</f>
        <v>327238</v>
      </c>
    </row>
    <row r="73" spans="1:8" s="43" customFormat="1" ht="21" customHeight="1">
      <c r="A73" s="142"/>
      <c r="B73" s="138"/>
      <c r="C73" s="142">
        <v>3020</v>
      </c>
      <c r="D73" s="68" t="s">
        <v>287</v>
      </c>
      <c r="E73" s="136">
        <v>10100</v>
      </c>
      <c r="F73" s="141"/>
      <c r="G73" s="141"/>
      <c r="H73" s="148">
        <f aca="true" t="shared" si="4" ref="H73:H80">SUM(E73+F73-G73)</f>
        <v>10100</v>
      </c>
    </row>
    <row r="74" spans="1:8" s="43" customFormat="1" ht="21" customHeight="1">
      <c r="A74" s="142"/>
      <c r="B74" s="138"/>
      <c r="C74" s="142">
        <v>4170</v>
      </c>
      <c r="D74" s="68" t="s">
        <v>294</v>
      </c>
      <c r="E74" s="136">
        <f>4000+1600</f>
        <v>5600</v>
      </c>
      <c r="F74" s="141"/>
      <c r="G74" s="141"/>
      <c r="H74" s="148">
        <f t="shared" si="4"/>
        <v>5600</v>
      </c>
    </row>
    <row r="75" spans="1:8" s="43" customFormat="1" ht="21" customHeight="1">
      <c r="A75" s="142"/>
      <c r="B75" s="138"/>
      <c r="C75" s="142">
        <v>4210</v>
      </c>
      <c r="D75" s="68" t="s">
        <v>106</v>
      </c>
      <c r="E75" s="136">
        <f>99688+21150</f>
        <v>120838</v>
      </c>
      <c r="F75" s="141"/>
      <c r="G75" s="141"/>
      <c r="H75" s="148">
        <f t="shared" si="4"/>
        <v>120838</v>
      </c>
    </row>
    <row r="76" spans="1:8" s="43" customFormat="1" ht="21" customHeight="1">
      <c r="A76" s="142"/>
      <c r="B76" s="138"/>
      <c r="C76" s="120">
        <v>4300</v>
      </c>
      <c r="D76" s="68" t="s">
        <v>93</v>
      </c>
      <c r="E76" s="136">
        <f>173000+3700</f>
        <v>176700</v>
      </c>
      <c r="F76" s="141"/>
      <c r="G76" s="141"/>
      <c r="H76" s="148">
        <f t="shared" si="4"/>
        <v>176700</v>
      </c>
    </row>
    <row r="77" spans="1:8" s="43" customFormat="1" ht="21" customHeight="1">
      <c r="A77" s="142"/>
      <c r="B77" s="138"/>
      <c r="C77" s="120">
        <v>4350</v>
      </c>
      <c r="D77" s="68" t="s">
        <v>335</v>
      </c>
      <c r="E77" s="136">
        <v>2500</v>
      </c>
      <c r="F77" s="141"/>
      <c r="G77" s="141"/>
      <c r="H77" s="148">
        <f t="shared" si="4"/>
        <v>2500</v>
      </c>
    </row>
    <row r="78" spans="1:8" s="43" customFormat="1" ht="21" customHeight="1">
      <c r="A78" s="142"/>
      <c r="B78" s="138"/>
      <c r="C78" s="120">
        <v>4410</v>
      </c>
      <c r="D78" s="68" t="s">
        <v>104</v>
      </c>
      <c r="E78" s="136">
        <v>1000</v>
      </c>
      <c r="F78" s="141"/>
      <c r="G78" s="141"/>
      <c r="H78" s="148">
        <f t="shared" si="4"/>
        <v>1000</v>
      </c>
    </row>
    <row r="79" spans="1:8" s="43" customFormat="1" ht="21" customHeight="1">
      <c r="A79" s="142"/>
      <c r="B79" s="138"/>
      <c r="C79" s="142">
        <v>4420</v>
      </c>
      <c r="D79" s="68" t="s">
        <v>107</v>
      </c>
      <c r="E79" s="136">
        <v>10000</v>
      </c>
      <c r="F79" s="141"/>
      <c r="G79" s="141"/>
      <c r="H79" s="148">
        <f t="shared" si="4"/>
        <v>10000</v>
      </c>
    </row>
    <row r="80" spans="1:8" s="43" customFormat="1" ht="21" customHeight="1">
      <c r="A80" s="142"/>
      <c r="B80" s="138"/>
      <c r="C80" s="120">
        <v>4430</v>
      </c>
      <c r="D80" s="68" t="s">
        <v>108</v>
      </c>
      <c r="E80" s="136">
        <v>500</v>
      </c>
      <c r="F80" s="141"/>
      <c r="G80" s="141"/>
      <c r="H80" s="148">
        <f t="shared" si="4"/>
        <v>500</v>
      </c>
    </row>
    <row r="81" spans="1:8" s="8" customFormat="1" ht="45" customHeight="1">
      <c r="A81" s="63">
        <v>751</v>
      </c>
      <c r="B81" s="64"/>
      <c r="C81" s="65"/>
      <c r="D81" s="66" t="s">
        <v>112</v>
      </c>
      <c r="E81" s="67">
        <f>SUM(E82)</f>
        <v>3930</v>
      </c>
      <c r="F81" s="67">
        <f>SUM(F82)</f>
        <v>0</v>
      </c>
      <c r="G81" s="67">
        <f>SUM(G82)</f>
        <v>100</v>
      </c>
      <c r="H81" s="67">
        <f>SUM(H82)</f>
        <v>3830</v>
      </c>
    </row>
    <row r="82" spans="1:8" s="43" customFormat="1" ht="32.25" customHeight="1">
      <c r="A82" s="142"/>
      <c r="B82" s="138">
        <v>75101</v>
      </c>
      <c r="C82" s="142"/>
      <c r="D82" s="68" t="s">
        <v>24</v>
      </c>
      <c r="E82" s="136">
        <f>SUM(E83:E84)</f>
        <v>3930</v>
      </c>
      <c r="F82" s="136">
        <f>SUM(F83:F84)</f>
        <v>0</v>
      </c>
      <c r="G82" s="136">
        <f>SUM(G83:G84)</f>
        <v>100</v>
      </c>
      <c r="H82" s="136">
        <f>SUM(H83:H84)</f>
        <v>3830</v>
      </c>
    </row>
    <row r="83" spans="1:8" s="43" customFormat="1" ht="21" customHeight="1">
      <c r="A83" s="142"/>
      <c r="B83" s="138"/>
      <c r="C83" s="120">
        <v>4210</v>
      </c>
      <c r="D83" s="68" t="s">
        <v>106</v>
      </c>
      <c r="E83" s="136">
        <v>1930</v>
      </c>
      <c r="F83" s="141"/>
      <c r="G83" s="141">
        <v>100</v>
      </c>
      <c r="H83" s="148">
        <f>SUM(E83+F83-G83)</f>
        <v>1830</v>
      </c>
    </row>
    <row r="84" spans="1:8" s="43" customFormat="1" ht="21" customHeight="1">
      <c r="A84" s="142"/>
      <c r="B84" s="138"/>
      <c r="C84" s="120">
        <v>4300</v>
      </c>
      <c r="D84" s="68" t="s">
        <v>93</v>
      </c>
      <c r="E84" s="136">
        <v>2000</v>
      </c>
      <c r="F84" s="141"/>
      <c r="G84" s="141"/>
      <c r="H84" s="148">
        <f>SUM(E84+F84-G84)</f>
        <v>2000</v>
      </c>
    </row>
    <row r="85" spans="1:8" s="8" customFormat="1" ht="24.75" customHeight="1">
      <c r="A85" s="63" t="s">
        <v>25</v>
      </c>
      <c r="B85" s="64"/>
      <c r="C85" s="65"/>
      <c r="D85" s="66" t="s">
        <v>113</v>
      </c>
      <c r="E85" s="67">
        <f>SUM(E86,E99,E101,E114,)</f>
        <v>306600</v>
      </c>
      <c r="F85" s="67">
        <f>SUM(F86,F99,F101,F114,)</f>
        <v>0</v>
      </c>
      <c r="G85" s="67">
        <f>SUM(G86,G99,G101,G114,)</f>
        <v>0</v>
      </c>
      <c r="H85" s="67">
        <f>SUM(H86,H99,H101,H114,)</f>
        <v>306600</v>
      </c>
    </row>
    <row r="86" spans="1:8" s="43" customFormat="1" ht="21.75" customHeight="1">
      <c r="A86" s="142"/>
      <c r="B86" s="138" t="s">
        <v>114</v>
      </c>
      <c r="C86" s="142"/>
      <c r="D86" s="68" t="s">
        <v>115</v>
      </c>
      <c r="E86" s="136">
        <f>SUM(E87:E98)</f>
        <v>153100</v>
      </c>
      <c r="F86" s="136">
        <f>SUM(F87:F98)</f>
        <v>0</v>
      </c>
      <c r="G86" s="136">
        <f>SUM(G87:G98)</f>
        <v>0</v>
      </c>
      <c r="H86" s="136">
        <f>SUM(H87:H98)</f>
        <v>153100</v>
      </c>
    </row>
    <row r="87" spans="1:8" s="43" customFormat="1" ht="21" customHeight="1">
      <c r="A87" s="142"/>
      <c r="B87" s="138"/>
      <c r="C87" s="142">
        <v>3020</v>
      </c>
      <c r="D87" s="68" t="s">
        <v>287</v>
      </c>
      <c r="E87" s="136">
        <v>10400</v>
      </c>
      <c r="F87" s="136"/>
      <c r="G87" s="136"/>
      <c r="H87" s="148">
        <f aca="true" t="shared" si="5" ref="H87:H98">SUM(E87+F87-G87)</f>
        <v>10400</v>
      </c>
    </row>
    <row r="88" spans="1:8" s="43" customFormat="1" ht="21" customHeight="1">
      <c r="A88" s="142"/>
      <c r="B88" s="138"/>
      <c r="C88" s="142">
        <v>4110</v>
      </c>
      <c r="D88" s="68" t="s">
        <v>100</v>
      </c>
      <c r="E88" s="136">
        <v>3600</v>
      </c>
      <c r="F88" s="136"/>
      <c r="G88" s="136"/>
      <c r="H88" s="148">
        <f t="shared" si="5"/>
        <v>3600</v>
      </c>
    </row>
    <row r="89" spans="1:8" s="43" customFormat="1" ht="21" customHeight="1">
      <c r="A89" s="142"/>
      <c r="B89" s="138"/>
      <c r="C89" s="142">
        <v>4120</v>
      </c>
      <c r="D89" s="68" t="s">
        <v>356</v>
      </c>
      <c r="E89" s="136">
        <v>600</v>
      </c>
      <c r="F89" s="136"/>
      <c r="G89" s="136"/>
      <c r="H89" s="148">
        <f t="shared" si="5"/>
        <v>600</v>
      </c>
    </row>
    <row r="90" spans="1:8" s="43" customFormat="1" ht="21" customHeight="1">
      <c r="A90" s="142"/>
      <c r="B90" s="138"/>
      <c r="C90" s="120">
        <v>4170</v>
      </c>
      <c r="D90" s="68" t="s">
        <v>294</v>
      </c>
      <c r="E90" s="136">
        <v>21000</v>
      </c>
      <c r="F90" s="198"/>
      <c r="G90" s="198"/>
      <c r="H90" s="148">
        <f t="shared" si="5"/>
        <v>21000</v>
      </c>
    </row>
    <row r="91" spans="1:8" s="43" customFormat="1" ht="21" customHeight="1">
      <c r="A91" s="142"/>
      <c r="B91" s="138"/>
      <c r="C91" s="120">
        <v>4210</v>
      </c>
      <c r="D91" s="68" t="s">
        <v>106</v>
      </c>
      <c r="E91" s="136">
        <f>16900+5000</f>
        <v>21900</v>
      </c>
      <c r="F91" s="198"/>
      <c r="G91" s="198"/>
      <c r="H91" s="148">
        <f t="shared" si="5"/>
        <v>21900</v>
      </c>
    </row>
    <row r="92" spans="1:8" s="43" customFormat="1" ht="21" customHeight="1">
      <c r="A92" s="142"/>
      <c r="B92" s="138"/>
      <c r="C92" s="120">
        <v>4260</v>
      </c>
      <c r="D92" s="68" t="s">
        <v>109</v>
      </c>
      <c r="E92" s="136">
        <v>6400</v>
      </c>
      <c r="F92" s="198"/>
      <c r="G92" s="198"/>
      <c r="H92" s="148">
        <f t="shared" si="5"/>
        <v>6400</v>
      </c>
    </row>
    <row r="93" spans="1:8" s="43" customFormat="1" ht="21" customHeight="1">
      <c r="A93" s="142"/>
      <c r="B93" s="138"/>
      <c r="C93" s="120">
        <v>4270</v>
      </c>
      <c r="D93" s="68" t="s">
        <v>92</v>
      </c>
      <c r="E93" s="136">
        <v>5500</v>
      </c>
      <c r="F93" s="198"/>
      <c r="G93" s="198"/>
      <c r="H93" s="148">
        <f t="shared" si="5"/>
        <v>5500</v>
      </c>
    </row>
    <row r="94" spans="1:8" s="43" customFormat="1" ht="21" customHeight="1">
      <c r="A94" s="142"/>
      <c r="B94" s="138"/>
      <c r="C94" s="120">
        <v>4280</v>
      </c>
      <c r="D94" s="68" t="s">
        <v>355</v>
      </c>
      <c r="E94" s="136">
        <v>2700</v>
      </c>
      <c r="F94" s="198"/>
      <c r="G94" s="198"/>
      <c r="H94" s="148">
        <f t="shared" si="5"/>
        <v>2700</v>
      </c>
    </row>
    <row r="95" spans="1:8" s="43" customFormat="1" ht="21" customHeight="1">
      <c r="A95" s="142"/>
      <c r="B95" s="138"/>
      <c r="C95" s="120">
        <v>4300</v>
      </c>
      <c r="D95" s="68" t="s">
        <v>93</v>
      </c>
      <c r="E95" s="136">
        <v>4000</v>
      </c>
      <c r="F95" s="198"/>
      <c r="G95" s="198"/>
      <c r="H95" s="148">
        <f t="shared" si="5"/>
        <v>4000</v>
      </c>
    </row>
    <row r="96" spans="1:8" s="43" customFormat="1" ht="21" customHeight="1">
      <c r="A96" s="142"/>
      <c r="B96" s="138"/>
      <c r="C96" s="120">
        <v>4410</v>
      </c>
      <c r="D96" s="68" t="s">
        <v>104</v>
      </c>
      <c r="E96" s="136">
        <v>3000</v>
      </c>
      <c r="F96" s="198"/>
      <c r="G96" s="198"/>
      <c r="H96" s="148">
        <f t="shared" si="5"/>
        <v>3000</v>
      </c>
    </row>
    <row r="97" spans="1:8" s="43" customFormat="1" ht="21" customHeight="1">
      <c r="A97" s="142"/>
      <c r="B97" s="138"/>
      <c r="C97" s="120">
        <v>4430</v>
      </c>
      <c r="D97" s="68" t="s">
        <v>108</v>
      </c>
      <c r="E97" s="136">
        <v>4000</v>
      </c>
      <c r="F97" s="198"/>
      <c r="G97" s="198"/>
      <c r="H97" s="148">
        <f t="shared" si="5"/>
        <v>4000</v>
      </c>
    </row>
    <row r="98" spans="1:8" s="43" customFormat="1" ht="21" customHeight="1">
      <c r="A98" s="142"/>
      <c r="B98" s="138"/>
      <c r="C98" s="120">
        <v>6050</v>
      </c>
      <c r="D98" s="68" t="s">
        <v>87</v>
      </c>
      <c r="E98" s="136">
        <v>70000</v>
      </c>
      <c r="F98" s="198"/>
      <c r="G98" s="198"/>
      <c r="H98" s="148">
        <f t="shared" si="5"/>
        <v>70000</v>
      </c>
    </row>
    <row r="99" spans="1:8" s="43" customFormat="1" ht="21.75" customHeight="1">
      <c r="A99" s="142"/>
      <c r="B99" s="138" t="s">
        <v>27</v>
      </c>
      <c r="C99" s="142"/>
      <c r="D99" s="68" t="s">
        <v>116</v>
      </c>
      <c r="E99" s="136">
        <f>SUM(E100)</f>
        <v>400</v>
      </c>
      <c r="F99" s="136">
        <f>SUM(F100)</f>
        <v>0</v>
      </c>
      <c r="G99" s="136">
        <f>SUM(G100)</f>
        <v>0</v>
      </c>
      <c r="H99" s="136">
        <f>SUM(H100)</f>
        <v>400</v>
      </c>
    </row>
    <row r="100" spans="1:8" s="43" customFormat="1" ht="21" customHeight="1">
      <c r="A100" s="142"/>
      <c r="B100" s="138"/>
      <c r="C100" s="120">
        <v>4300</v>
      </c>
      <c r="D100" s="68" t="s">
        <v>93</v>
      </c>
      <c r="E100" s="136">
        <v>400</v>
      </c>
      <c r="F100" s="141"/>
      <c r="G100" s="141"/>
      <c r="H100" s="148">
        <f>SUM(E100+F100-G100)</f>
        <v>400</v>
      </c>
    </row>
    <row r="101" spans="1:8" s="43" customFormat="1" ht="21.75" customHeight="1">
      <c r="A101" s="142"/>
      <c r="B101" s="138">
        <v>75416</v>
      </c>
      <c r="C101" s="142"/>
      <c r="D101" s="68" t="s">
        <v>30</v>
      </c>
      <c r="E101" s="136">
        <f>SUM(E102:E113)</f>
        <v>148100</v>
      </c>
      <c r="F101" s="136">
        <f>SUM(F102:F113)</f>
        <v>0</v>
      </c>
      <c r="G101" s="136">
        <f>SUM(G102:G113)</f>
        <v>0</v>
      </c>
      <c r="H101" s="136">
        <f>SUM(H102:H113)</f>
        <v>148100</v>
      </c>
    </row>
    <row r="102" spans="1:8" s="43" customFormat="1" ht="21" customHeight="1">
      <c r="A102" s="142"/>
      <c r="B102" s="138"/>
      <c r="C102" s="120">
        <v>3020</v>
      </c>
      <c r="D102" s="68" t="s">
        <v>287</v>
      </c>
      <c r="E102" s="136">
        <v>10500</v>
      </c>
      <c r="F102" s="141"/>
      <c r="G102" s="141"/>
      <c r="H102" s="148">
        <f aca="true" t="shared" si="6" ref="H102:H113">SUM(E102+F102-G102)</f>
        <v>10500</v>
      </c>
    </row>
    <row r="103" spans="1:8" s="43" customFormat="1" ht="21" customHeight="1">
      <c r="A103" s="142"/>
      <c r="B103" s="138"/>
      <c r="C103" s="120">
        <v>4010</v>
      </c>
      <c r="D103" s="68" t="s">
        <v>98</v>
      </c>
      <c r="E103" s="136">
        <v>87200</v>
      </c>
      <c r="F103" s="141"/>
      <c r="G103" s="141"/>
      <c r="H103" s="148">
        <f t="shared" si="6"/>
        <v>87200</v>
      </c>
    </row>
    <row r="104" spans="1:8" s="43" customFormat="1" ht="21" customHeight="1">
      <c r="A104" s="142"/>
      <c r="B104" s="138"/>
      <c r="C104" s="120">
        <v>4040</v>
      </c>
      <c r="D104" s="68" t="s">
        <v>99</v>
      </c>
      <c r="E104" s="136">
        <v>5500</v>
      </c>
      <c r="F104" s="141"/>
      <c r="G104" s="141"/>
      <c r="H104" s="148">
        <f t="shared" si="6"/>
        <v>5500</v>
      </c>
    </row>
    <row r="105" spans="1:8" s="43" customFormat="1" ht="21" customHeight="1">
      <c r="A105" s="142"/>
      <c r="B105" s="138"/>
      <c r="C105" s="120">
        <v>4110</v>
      </c>
      <c r="D105" s="68" t="s">
        <v>100</v>
      </c>
      <c r="E105" s="136">
        <v>16100</v>
      </c>
      <c r="F105" s="141"/>
      <c r="G105" s="141"/>
      <c r="H105" s="148">
        <f t="shared" si="6"/>
        <v>16100</v>
      </c>
    </row>
    <row r="106" spans="1:8" s="43" customFormat="1" ht="21" customHeight="1">
      <c r="A106" s="142"/>
      <c r="B106" s="138"/>
      <c r="C106" s="120">
        <v>4120</v>
      </c>
      <c r="D106" s="68" t="s">
        <v>101</v>
      </c>
      <c r="E106" s="136">
        <v>2200</v>
      </c>
      <c r="F106" s="141"/>
      <c r="G106" s="141"/>
      <c r="H106" s="148">
        <f t="shared" si="6"/>
        <v>2200</v>
      </c>
    </row>
    <row r="107" spans="1:8" s="43" customFormat="1" ht="21" customHeight="1">
      <c r="A107" s="142"/>
      <c r="B107" s="138"/>
      <c r="C107" s="120">
        <v>4210</v>
      </c>
      <c r="D107" s="68" t="s">
        <v>106</v>
      </c>
      <c r="E107" s="136">
        <v>8000</v>
      </c>
      <c r="F107" s="141"/>
      <c r="G107" s="141"/>
      <c r="H107" s="148">
        <f t="shared" si="6"/>
        <v>8000</v>
      </c>
    </row>
    <row r="108" spans="1:8" s="43" customFormat="1" ht="21" customHeight="1">
      <c r="A108" s="142"/>
      <c r="B108" s="138"/>
      <c r="C108" s="120">
        <v>4270</v>
      </c>
      <c r="D108" s="68" t="s">
        <v>92</v>
      </c>
      <c r="E108" s="136">
        <v>3000</v>
      </c>
      <c r="F108" s="141"/>
      <c r="G108" s="141"/>
      <c r="H108" s="148">
        <f t="shared" si="6"/>
        <v>3000</v>
      </c>
    </row>
    <row r="109" spans="1:8" s="43" customFormat="1" ht="21" customHeight="1">
      <c r="A109" s="142"/>
      <c r="B109" s="138"/>
      <c r="C109" s="120">
        <v>4280</v>
      </c>
      <c r="D109" s="68" t="s">
        <v>355</v>
      </c>
      <c r="E109" s="136">
        <v>1500</v>
      </c>
      <c r="F109" s="141"/>
      <c r="G109" s="141"/>
      <c r="H109" s="148">
        <f t="shared" si="6"/>
        <v>1500</v>
      </c>
    </row>
    <row r="110" spans="1:8" s="43" customFormat="1" ht="21" customHeight="1">
      <c r="A110" s="142"/>
      <c r="B110" s="138"/>
      <c r="C110" s="120">
        <v>4300</v>
      </c>
      <c r="D110" s="68" t="s">
        <v>93</v>
      </c>
      <c r="E110" s="136">
        <v>7500</v>
      </c>
      <c r="F110" s="141"/>
      <c r="G110" s="141"/>
      <c r="H110" s="148">
        <f t="shared" si="6"/>
        <v>7500</v>
      </c>
    </row>
    <row r="111" spans="1:8" s="43" customFormat="1" ht="21" customHeight="1">
      <c r="A111" s="142"/>
      <c r="B111" s="138"/>
      <c r="C111" s="120">
        <v>4410</v>
      </c>
      <c r="D111" s="68" t="s">
        <v>104</v>
      </c>
      <c r="E111" s="136">
        <v>500</v>
      </c>
      <c r="F111" s="141"/>
      <c r="G111" s="141"/>
      <c r="H111" s="148">
        <f t="shared" si="6"/>
        <v>500</v>
      </c>
    </row>
    <row r="112" spans="1:8" s="43" customFormat="1" ht="21" customHeight="1">
      <c r="A112" s="142"/>
      <c r="B112" s="138"/>
      <c r="C112" s="123">
        <v>4430</v>
      </c>
      <c r="D112" s="68" t="s">
        <v>108</v>
      </c>
      <c r="E112" s="136">
        <v>3000</v>
      </c>
      <c r="F112" s="141"/>
      <c r="G112" s="141"/>
      <c r="H112" s="148">
        <f t="shared" si="6"/>
        <v>3000</v>
      </c>
    </row>
    <row r="113" spans="1:8" s="43" customFormat="1" ht="21" customHeight="1">
      <c r="A113" s="142"/>
      <c r="B113" s="138"/>
      <c r="C113" s="123">
        <v>4440</v>
      </c>
      <c r="D113" s="68" t="s">
        <v>102</v>
      </c>
      <c r="E113" s="136">
        <v>3100</v>
      </c>
      <c r="F113" s="141"/>
      <c r="G113" s="141"/>
      <c r="H113" s="148">
        <f t="shared" si="6"/>
        <v>3100</v>
      </c>
    </row>
    <row r="114" spans="1:8" s="43" customFormat="1" ht="21.75" customHeight="1">
      <c r="A114" s="142"/>
      <c r="B114" s="138" t="s">
        <v>117</v>
      </c>
      <c r="C114" s="142"/>
      <c r="D114" s="68" t="s">
        <v>6</v>
      </c>
      <c r="E114" s="136">
        <f>E115</f>
        <v>5000</v>
      </c>
      <c r="F114" s="136">
        <f>SUM(F115)</f>
        <v>0</v>
      </c>
      <c r="G114" s="136">
        <f>SUM(G115)</f>
        <v>0</v>
      </c>
      <c r="H114" s="136">
        <f>SUM(H115)</f>
        <v>5000</v>
      </c>
    </row>
    <row r="115" spans="1:8" s="43" customFormat="1" ht="21" customHeight="1">
      <c r="A115" s="142"/>
      <c r="B115" s="138"/>
      <c r="C115" s="123">
        <v>4430</v>
      </c>
      <c r="D115" s="68" t="s">
        <v>108</v>
      </c>
      <c r="E115" s="136">
        <v>5000</v>
      </c>
      <c r="F115" s="141"/>
      <c r="G115" s="141"/>
      <c r="H115" s="148">
        <f>SUM(E115+F115-G115)</f>
        <v>5000</v>
      </c>
    </row>
    <row r="116" spans="1:8" s="72" customFormat="1" ht="67.5" customHeight="1">
      <c r="A116" s="65">
        <v>756</v>
      </c>
      <c r="B116" s="114"/>
      <c r="C116" s="113"/>
      <c r="D116" s="66" t="s">
        <v>227</v>
      </c>
      <c r="E116" s="67">
        <f>SUM(E117)</f>
        <v>73500</v>
      </c>
      <c r="F116" s="67">
        <f>SUM(F117)</f>
        <v>0</v>
      </c>
      <c r="G116" s="67">
        <f>SUM(G117)</f>
        <v>0</v>
      </c>
      <c r="H116" s="67">
        <f>SUM(H117)</f>
        <v>73500</v>
      </c>
    </row>
    <row r="117" spans="1:8" s="43" customFormat="1" ht="25.5" customHeight="1">
      <c r="A117" s="142"/>
      <c r="B117" s="138">
        <v>75647</v>
      </c>
      <c r="C117" s="123"/>
      <c r="D117" s="68" t="s">
        <v>262</v>
      </c>
      <c r="E117" s="136">
        <f>SUM(E118:E123)</f>
        <v>73500</v>
      </c>
      <c r="F117" s="136">
        <f>SUM(F118:F123)</f>
        <v>0</v>
      </c>
      <c r="G117" s="136">
        <f>SUM(G118:G123)</f>
        <v>0</v>
      </c>
      <c r="H117" s="136">
        <f>SUM(H118:H123)</f>
        <v>73500</v>
      </c>
    </row>
    <row r="118" spans="1:8" s="43" customFormat="1" ht="21" customHeight="1">
      <c r="A118" s="142"/>
      <c r="B118" s="138"/>
      <c r="C118" s="123">
        <v>4100</v>
      </c>
      <c r="D118" s="68" t="s">
        <v>111</v>
      </c>
      <c r="E118" s="136">
        <v>35000</v>
      </c>
      <c r="F118" s="141"/>
      <c r="G118" s="141"/>
      <c r="H118" s="148">
        <f aca="true" t="shared" si="7" ref="H118:H123">SUM(E118+F118-G118)</f>
        <v>35000</v>
      </c>
    </row>
    <row r="119" spans="1:8" s="43" customFormat="1" ht="21" customHeight="1">
      <c r="A119" s="142"/>
      <c r="B119" s="138"/>
      <c r="C119" s="123">
        <v>4170</v>
      </c>
      <c r="D119" s="68" t="s">
        <v>294</v>
      </c>
      <c r="E119" s="136">
        <v>8000</v>
      </c>
      <c r="F119" s="141"/>
      <c r="G119" s="141"/>
      <c r="H119" s="148">
        <f t="shared" si="7"/>
        <v>8000</v>
      </c>
    </row>
    <row r="120" spans="1:8" s="43" customFormat="1" ht="21" customHeight="1">
      <c r="A120" s="142"/>
      <c r="B120" s="138"/>
      <c r="C120" s="123">
        <v>4210</v>
      </c>
      <c r="D120" s="68" t="s">
        <v>86</v>
      </c>
      <c r="E120" s="136">
        <v>6000</v>
      </c>
      <c r="F120" s="141"/>
      <c r="G120" s="141"/>
      <c r="H120" s="148">
        <f t="shared" si="7"/>
        <v>6000</v>
      </c>
    </row>
    <row r="121" spans="1:8" s="43" customFormat="1" ht="21" customHeight="1">
      <c r="A121" s="142"/>
      <c r="B121" s="138"/>
      <c r="C121" s="123">
        <v>4300</v>
      </c>
      <c r="D121" s="68" t="s">
        <v>93</v>
      </c>
      <c r="E121" s="136">
        <v>18000</v>
      </c>
      <c r="F121" s="141"/>
      <c r="G121" s="141"/>
      <c r="H121" s="148">
        <f t="shared" si="7"/>
        <v>18000</v>
      </c>
    </row>
    <row r="122" spans="1:8" s="43" customFormat="1" ht="24" customHeight="1">
      <c r="A122" s="142"/>
      <c r="B122" s="138"/>
      <c r="C122" s="123">
        <v>4610</v>
      </c>
      <c r="D122" s="68" t="s">
        <v>266</v>
      </c>
      <c r="E122" s="136">
        <v>6000</v>
      </c>
      <c r="F122" s="141"/>
      <c r="G122" s="141"/>
      <c r="H122" s="148">
        <f t="shared" si="7"/>
        <v>6000</v>
      </c>
    </row>
    <row r="123" spans="1:8" s="43" customFormat="1" ht="21" customHeight="1">
      <c r="A123" s="142"/>
      <c r="B123" s="138"/>
      <c r="C123" s="123">
        <v>4430</v>
      </c>
      <c r="D123" s="68" t="s">
        <v>108</v>
      </c>
      <c r="E123" s="136">
        <v>500</v>
      </c>
      <c r="F123" s="141"/>
      <c r="G123" s="141"/>
      <c r="H123" s="148">
        <f t="shared" si="7"/>
        <v>500</v>
      </c>
    </row>
    <row r="124" spans="1:8" s="8" customFormat="1" ht="16.5" customHeight="1">
      <c r="A124" s="63" t="s">
        <v>118</v>
      </c>
      <c r="B124" s="64"/>
      <c r="C124" s="65"/>
      <c r="D124" s="66" t="s">
        <v>119</v>
      </c>
      <c r="E124" s="67">
        <f>SUM(E125)</f>
        <v>680614</v>
      </c>
      <c r="F124" s="67">
        <f>SUM(F125)</f>
        <v>0</v>
      </c>
      <c r="G124" s="67">
        <f>SUM(G125)</f>
        <v>0</v>
      </c>
      <c r="H124" s="67">
        <f>SUM(H125)</f>
        <v>680614</v>
      </c>
    </row>
    <row r="125" spans="1:8" s="43" customFormat="1" ht="39" customHeight="1">
      <c r="A125" s="120"/>
      <c r="B125" s="138" t="s">
        <v>120</v>
      </c>
      <c r="C125" s="142"/>
      <c r="D125" s="68" t="s">
        <v>121</v>
      </c>
      <c r="E125" s="136">
        <f>SUM(E126:E127)</f>
        <v>680614</v>
      </c>
      <c r="F125" s="136">
        <f>SUM(F126:F127)</f>
        <v>0</v>
      </c>
      <c r="G125" s="136">
        <f>SUM(G126:G127)</f>
        <v>0</v>
      </c>
      <c r="H125" s="136">
        <f>SUM(H126:H127)</f>
        <v>680614</v>
      </c>
    </row>
    <row r="126" spans="1:8" s="43" customFormat="1" ht="38.25" customHeight="1">
      <c r="A126" s="120"/>
      <c r="B126" s="143"/>
      <c r="C126" s="142">
        <v>8070</v>
      </c>
      <c r="D126" s="68" t="s">
        <v>122</v>
      </c>
      <c r="E126" s="136">
        <v>658614</v>
      </c>
      <c r="F126" s="150"/>
      <c r="G126" s="150"/>
      <c r="H126" s="148">
        <f>SUM(E126+F126-G126)</f>
        <v>658614</v>
      </c>
    </row>
    <row r="127" spans="1:8" s="43" customFormat="1" ht="36">
      <c r="A127" s="120"/>
      <c r="B127" s="143"/>
      <c r="C127" s="142">
        <v>8079</v>
      </c>
      <c r="D127" s="68" t="s">
        <v>122</v>
      </c>
      <c r="E127" s="136">
        <v>22000</v>
      </c>
      <c r="F127" s="150"/>
      <c r="G127" s="150"/>
      <c r="H127" s="148">
        <f>SUM(E127+F127-G127)</f>
        <v>22000</v>
      </c>
    </row>
    <row r="128" spans="1:8" s="8" customFormat="1" ht="24.75" customHeight="1">
      <c r="A128" s="63" t="s">
        <v>56</v>
      </c>
      <c r="B128" s="64"/>
      <c r="C128" s="65"/>
      <c r="D128" s="66" t="s">
        <v>57</v>
      </c>
      <c r="E128" s="67">
        <f>SUM(E129)</f>
        <v>300000</v>
      </c>
      <c r="F128" s="67">
        <f aca="true" t="shared" si="8" ref="F128:H129">SUM(F129)</f>
        <v>0</v>
      </c>
      <c r="G128" s="67">
        <f t="shared" si="8"/>
        <v>0</v>
      </c>
      <c r="H128" s="67">
        <f t="shared" si="8"/>
        <v>300000</v>
      </c>
    </row>
    <row r="129" spans="1:8" s="43" customFormat="1" ht="21.75" customHeight="1">
      <c r="A129" s="120"/>
      <c r="B129" s="138" t="s">
        <v>123</v>
      </c>
      <c r="C129" s="142"/>
      <c r="D129" s="68" t="s">
        <v>124</v>
      </c>
      <c r="E129" s="136">
        <f>SUM(E130)</f>
        <v>300000</v>
      </c>
      <c r="F129" s="136">
        <f t="shared" si="8"/>
        <v>0</v>
      </c>
      <c r="G129" s="136">
        <f t="shared" si="8"/>
        <v>0</v>
      </c>
      <c r="H129" s="136">
        <f t="shared" si="8"/>
        <v>300000</v>
      </c>
    </row>
    <row r="130" spans="1:8" s="43" customFormat="1" ht="21" customHeight="1">
      <c r="A130" s="120"/>
      <c r="B130" s="143"/>
      <c r="C130" s="142">
        <v>4810</v>
      </c>
      <c r="D130" s="68" t="s">
        <v>125</v>
      </c>
      <c r="E130" s="136">
        <v>300000</v>
      </c>
      <c r="F130" s="141"/>
      <c r="G130" s="141"/>
      <c r="H130" s="148">
        <f>SUM(E130+F130-G130)</f>
        <v>300000</v>
      </c>
    </row>
    <row r="131" spans="1:8" s="9" customFormat="1" ht="24.75" customHeight="1">
      <c r="A131" s="63" t="s">
        <v>126</v>
      </c>
      <c r="B131" s="64"/>
      <c r="C131" s="65"/>
      <c r="D131" s="66" t="s">
        <v>127</v>
      </c>
      <c r="E131" s="67">
        <f>SUM(E132,E150,E162,E165,E183,E186,E190)</f>
        <v>16819030</v>
      </c>
      <c r="F131" s="67">
        <f>SUM(F132,F150,F162,F165,F183,F186,F190)</f>
        <v>162040</v>
      </c>
      <c r="G131" s="67">
        <f>SUM(G132,G150,G162,G165,G183,G186,G190)</f>
        <v>32040</v>
      </c>
      <c r="H131" s="67">
        <f>SUM(H132,H150,H162,H165,H183,H186,H190)</f>
        <v>16949030</v>
      </c>
    </row>
    <row r="132" spans="1:8" s="43" customFormat="1" ht="21.75" customHeight="1">
      <c r="A132" s="120"/>
      <c r="B132" s="138" t="s">
        <v>128</v>
      </c>
      <c r="C132" s="142"/>
      <c r="D132" s="68" t="s">
        <v>62</v>
      </c>
      <c r="E132" s="136">
        <f>SUM(E133:E149)</f>
        <v>8994679</v>
      </c>
      <c r="F132" s="136">
        <f>SUM(F133:F149)</f>
        <v>70000</v>
      </c>
      <c r="G132" s="136">
        <f>SUM(G133:G149)</f>
        <v>0</v>
      </c>
      <c r="H132" s="136">
        <f>SUM(H133:H149)</f>
        <v>9064679</v>
      </c>
    </row>
    <row r="133" spans="1:8" s="43" customFormat="1" ht="32.25" customHeight="1">
      <c r="A133" s="120"/>
      <c r="B133" s="138"/>
      <c r="C133" s="142">
        <v>2540</v>
      </c>
      <c r="D133" s="68" t="s">
        <v>268</v>
      </c>
      <c r="E133" s="136">
        <v>211428</v>
      </c>
      <c r="F133" s="141"/>
      <c r="G133" s="141"/>
      <c r="H133" s="148">
        <f aca="true" t="shared" si="9" ref="H133:H149">SUM(E133+F133-G133)</f>
        <v>211428</v>
      </c>
    </row>
    <row r="134" spans="1:8" s="43" customFormat="1" ht="21" customHeight="1">
      <c r="A134" s="120"/>
      <c r="B134" s="138"/>
      <c r="C134" s="120">
        <v>3020</v>
      </c>
      <c r="D134" s="68" t="s">
        <v>343</v>
      </c>
      <c r="E134" s="136">
        <v>166622</v>
      </c>
      <c r="F134" s="141"/>
      <c r="G134" s="141"/>
      <c r="H134" s="148">
        <f t="shared" si="9"/>
        <v>166622</v>
      </c>
    </row>
    <row r="135" spans="1:8" s="43" customFormat="1" ht="21" customHeight="1">
      <c r="A135" s="120"/>
      <c r="B135" s="138"/>
      <c r="C135" s="120">
        <v>4010</v>
      </c>
      <c r="D135" s="68" t="s">
        <v>98</v>
      </c>
      <c r="E135" s="136">
        <v>5677907</v>
      </c>
      <c r="F135" s="141"/>
      <c r="G135" s="141"/>
      <c r="H135" s="148">
        <f t="shared" si="9"/>
        <v>5677907</v>
      </c>
    </row>
    <row r="136" spans="1:8" s="43" customFormat="1" ht="21" customHeight="1">
      <c r="A136" s="120"/>
      <c r="B136" s="138"/>
      <c r="C136" s="120">
        <v>4040</v>
      </c>
      <c r="D136" s="68" t="s">
        <v>99</v>
      </c>
      <c r="E136" s="136">
        <v>459689</v>
      </c>
      <c r="F136" s="141"/>
      <c r="G136" s="141"/>
      <c r="H136" s="148">
        <f t="shared" si="9"/>
        <v>459689</v>
      </c>
    </row>
    <row r="137" spans="1:8" s="43" customFormat="1" ht="21" customHeight="1">
      <c r="A137" s="120"/>
      <c r="B137" s="138"/>
      <c r="C137" s="120">
        <v>4110</v>
      </c>
      <c r="D137" s="68" t="s">
        <v>100</v>
      </c>
      <c r="E137" s="136">
        <v>1090140</v>
      </c>
      <c r="F137" s="141"/>
      <c r="G137" s="141"/>
      <c r="H137" s="148">
        <f t="shared" si="9"/>
        <v>1090140</v>
      </c>
    </row>
    <row r="138" spans="1:8" s="43" customFormat="1" ht="21" customHeight="1">
      <c r="A138" s="120"/>
      <c r="B138" s="138"/>
      <c r="C138" s="120">
        <v>4120</v>
      </c>
      <c r="D138" s="68" t="s">
        <v>101</v>
      </c>
      <c r="E138" s="136">
        <v>150918</v>
      </c>
      <c r="F138" s="141"/>
      <c r="G138" s="141"/>
      <c r="H138" s="148">
        <f t="shared" si="9"/>
        <v>150918</v>
      </c>
    </row>
    <row r="139" spans="1:8" s="43" customFormat="1" ht="21" customHeight="1">
      <c r="A139" s="120"/>
      <c r="B139" s="138"/>
      <c r="C139" s="120">
        <v>4170</v>
      </c>
      <c r="D139" s="68" t="s">
        <v>294</v>
      </c>
      <c r="E139" s="136">
        <v>36475</v>
      </c>
      <c r="F139" s="141"/>
      <c r="G139" s="141"/>
      <c r="H139" s="148">
        <f t="shared" si="9"/>
        <v>36475</v>
      </c>
    </row>
    <row r="140" spans="1:8" s="43" customFormat="1" ht="21" customHeight="1">
      <c r="A140" s="120"/>
      <c r="B140" s="138"/>
      <c r="C140" s="120">
        <v>4210</v>
      </c>
      <c r="D140" s="68" t="s">
        <v>106</v>
      </c>
      <c r="E140" s="136">
        <f>257900</f>
        <v>257900</v>
      </c>
      <c r="F140" s="141"/>
      <c r="G140" s="141"/>
      <c r="H140" s="148">
        <f t="shared" si="9"/>
        <v>257900</v>
      </c>
    </row>
    <row r="141" spans="1:8" s="43" customFormat="1" ht="21" customHeight="1">
      <c r="A141" s="120"/>
      <c r="B141" s="138"/>
      <c r="C141" s="142">
        <v>4230</v>
      </c>
      <c r="D141" s="68" t="s">
        <v>130</v>
      </c>
      <c r="E141" s="136">
        <v>1260</v>
      </c>
      <c r="F141" s="141"/>
      <c r="G141" s="141"/>
      <c r="H141" s="148">
        <f t="shared" si="9"/>
        <v>1260</v>
      </c>
    </row>
    <row r="142" spans="1:8" s="43" customFormat="1" ht="21" customHeight="1">
      <c r="A142" s="120"/>
      <c r="B142" s="138"/>
      <c r="C142" s="142">
        <v>4240</v>
      </c>
      <c r="D142" s="68" t="s">
        <v>141</v>
      </c>
      <c r="E142" s="136">
        <v>13000</v>
      </c>
      <c r="F142" s="141"/>
      <c r="G142" s="141"/>
      <c r="H142" s="148">
        <f t="shared" si="9"/>
        <v>13000</v>
      </c>
    </row>
    <row r="143" spans="1:8" s="43" customFormat="1" ht="21" customHeight="1">
      <c r="A143" s="120"/>
      <c r="B143" s="138"/>
      <c r="C143" s="120">
        <v>4260</v>
      </c>
      <c r="D143" s="68" t="s">
        <v>109</v>
      </c>
      <c r="E143" s="136">
        <v>381320</v>
      </c>
      <c r="F143" s="141"/>
      <c r="G143" s="141"/>
      <c r="H143" s="148">
        <f t="shared" si="9"/>
        <v>381320</v>
      </c>
    </row>
    <row r="144" spans="1:8" s="43" customFormat="1" ht="21" customHeight="1">
      <c r="A144" s="120"/>
      <c r="B144" s="138"/>
      <c r="C144" s="120">
        <v>4270</v>
      </c>
      <c r="D144" s="68" t="s">
        <v>92</v>
      </c>
      <c r="E144" s="136">
        <v>7500</v>
      </c>
      <c r="F144" s="141">
        <v>70000</v>
      </c>
      <c r="G144" s="141"/>
      <c r="H144" s="148">
        <f t="shared" si="9"/>
        <v>77500</v>
      </c>
    </row>
    <row r="145" spans="1:8" s="43" customFormat="1" ht="21" customHeight="1">
      <c r="A145" s="120"/>
      <c r="B145" s="138"/>
      <c r="C145" s="120">
        <v>4300</v>
      </c>
      <c r="D145" s="68" t="s">
        <v>93</v>
      </c>
      <c r="E145" s="136">
        <f>149500+4000</f>
        <v>153500</v>
      </c>
      <c r="F145" s="141"/>
      <c r="G145" s="141"/>
      <c r="H145" s="148">
        <f t="shared" si="9"/>
        <v>153500</v>
      </c>
    </row>
    <row r="146" spans="1:8" s="43" customFormat="1" ht="21" customHeight="1">
      <c r="A146" s="120"/>
      <c r="B146" s="138"/>
      <c r="C146" s="120">
        <v>4350</v>
      </c>
      <c r="D146" s="68" t="s">
        <v>335</v>
      </c>
      <c r="E146" s="136">
        <v>8950</v>
      </c>
      <c r="F146" s="141"/>
      <c r="G146" s="141"/>
      <c r="H146" s="148">
        <f t="shared" si="9"/>
        <v>8950</v>
      </c>
    </row>
    <row r="147" spans="1:8" s="43" customFormat="1" ht="21" customHeight="1">
      <c r="A147" s="120"/>
      <c r="B147" s="138"/>
      <c r="C147" s="120">
        <v>4410</v>
      </c>
      <c r="D147" s="68" t="s">
        <v>104</v>
      </c>
      <c r="E147" s="136">
        <v>13000</v>
      </c>
      <c r="F147" s="141"/>
      <c r="G147" s="141"/>
      <c r="H147" s="148">
        <f t="shared" si="9"/>
        <v>13000</v>
      </c>
    </row>
    <row r="148" spans="1:8" s="43" customFormat="1" ht="21" customHeight="1">
      <c r="A148" s="120"/>
      <c r="B148" s="138"/>
      <c r="C148" s="123">
        <v>4430</v>
      </c>
      <c r="D148" s="68" t="s">
        <v>108</v>
      </c>
      <c r="E148" s="136">
        <v>6630</v>
      </c>
      <c r="F148" s="141"/>
      <c r="G148" s="141"/>
      <c r="H148" s="148">
        <f t="shared" si="9"/>
        <v>6630</v>
      </c>
    </row>
    <row r="149" spans="1:8" s="43" customFormat="1" ht="21" customHeight="1">
      <c r="A149" s="120"/>
      <c r="B149" s="138"/>
      <c r="C149" s="123">
        <v>4440</v>
      </c>
      <c r="D149" s="68" t="s">
        <v>102</v>
      </c>
      <c r="E149" s="136">
        <v>358440</v>
      </c>
      <c r="F149" s="141"/>
      <c r="G149" s="141"/>
      <c r="H149" s="148">
        <f t="shared" si="9"/>
        <v>358440</v>
      </c>
    </row>
    <row r="150" spans="1:8" s="43" customFormat="1" ht="27.75" customHeight="1">
      <c r="A150" s="120"/>
      <c r="B150" s="138">
        <v>80103</v>
      </c>
      <c r="C150" s="123"/>
      <c r="D150" s="68" t="s">
        <v>332</v>
      </c>
      <c r="E150" s="136">
        <f>SUM(E151:E161)</f>
        <v>361579</v>
      </c>
      <c r="F150" s="136">
        <f>SUM(F151:F161)</f>
        <v>1500</v>
      </c>
      <c r="G150" s="136">
        <f>SUM(G151:G161)</f>
        <v>1500</v>
      </c>
      <c r="H150" s="136">
        <f>SUM(H151:H161)</f>
        <v>361579</v>
      </c>
    </row>
    <row r="151" spans="1:8" s="43" customFormat="1" ht="31.5" customHeight="1">
      <c r="A151" s="120"/>
      <c r="B151" s="138"/>
      <c r="C151" s="142">
        <v>2540</v>
      </c>
      <c r="D151" s="68" t="s">
        <v>268</v>
      </c>
      <c r="E151" s="136">
        <v>68080</v>
      </c>
      <c r="F151" s="136"/>
      <c r="G151" s="136"/>
      <c r="H151" s="148">
        <f aca="true" t="shared" si="10" ref="H151:H161">SUM(E151+F151-G151)</f>
        <v>68080</v>
      </c>
    </row>
    <row r="152" spans="1:8" s="43" customFormat="1" ht="21" customHeight="1">
      <c r="A152" s="120"/>
      <c r="B152" s="138"/>
      <c r="C152" s="142">
        <v>3020</v>
      </c>
      <c r="D152" s="68" t="s">
        <v>287</v>
      </c>
      <c r="E152" s="136">
        <v>17750</v>
      </c>
      <c r="F152" s="141"/>
      <c r="G152" s="141"/>
      <c r="H152" s="148">
        <f t="shared" si="10"/>
        <v>17750</v>
      </c>
    </row>
    <row r="153" spans="1:8" s="43" customFormat="1" ht="21" customHeight="1">
      <c r="A153" s="120"/>
      <c r="B153" s="138"/>
      <c r="C153" s="142">
        <v>4010</v>
      </c>
      <c r="D153" s="68" t="s">
        <v>98</v>
      </c>
      <c r="E153" s="136">
        <v>192997</v>
      </c>
      <c r="F153" s="141"/>
      <c r="G153" s="141"/>
      <c r="H153" s="148">
        <f t="shared" si="10"/>
        <v>192997</v>
      </c>
    </row>
    <row r="154" spans="1:8" s="43" customFormat="1" ht="21" customHeight="1">
      <c r="A154" s="120"/>
      <c r="B154" s="138"/>
      <c r="C154" s="142">
        <v>4040</v>
      </c>
      <c r="D154" s="68" t="s">
        <v>99</v>
      </c>
      <c r="E154" s="136">
        <v>15056</v>
      </c>
      <c r="F154" s="141"/>
      <c r="G154" s="141"/>
      <c r="H154" s="148">
        <f t="shared" si="10"/>
        <v>15056</v>
      </c>
    </row>
    <row r="155" spans="1:8" s="43" customFormat="1" ht="21" customHeight="1">
      <c r="A155" s="120"/>
      <c r="B155" s="138"/>
      <c r="C155" s="142">
        <v>4110</v>
      </c>
      <c r="D155" s="68" t="s">
        <v>100</v>
      </c>
      <c r="E155" s="136">
        <v>39406</v>
      </c>
      <c r="F155" s="141"/>
      <c r="G155" s="141"/>
      <c r="H155" s="148">
        <f t="shared" si="10"/>
        <v>39406</v>
      </c>
    </row>
    <row r="156" spans="1:8" s="43" customFormat="1" ht="21" customHeight="1">
      <c r="A156" s="120"/>
      <c r="B156" s="138"/>
      <c r="C156" s="142">
        <v>4120</v>
      </c>
      <c r="D156" s="68" t="s">
        <v>101</v>
      </c>
      <c r="E156" s="136">
        <v>5367</v>
      </c>
      <c r="F156" s="141"/>
      <c r="G156" s="141"/>
      <c r="H156" s="148">
        <f t="shared" si="10"/>
        <v>5367</v>
      </c>
    </row>
    <row r="157" spans="1:8" s="43" customFormat="1" ht="21" customHeight="1">
      <c r="A157" s="120"/>
      <c r="B157" s="138"/>
      <c r="C157" s="142">
        <v>4210</v>
      </c>
      <c r="D157" s="68" t="s">
        <v>86</v>
      </c>
      <c r="E157" s="136">
        <f>2200+1500</f>
        <v>3700</v>
      </c>
      <c r="F157" s="141"/>
      <c r="G157" s="141">
        <v>1500</v>
      </c>
      <c r="H157" s="148">
        <f t="shared" si="10"/>
        <v>2200</v>
      </c>
    </row>
    <row r="158" spans="1:8" s="43" customFormat="1" ht="21" customHeight="1">
      <c r="A158" s="120"/>
      <c r="B158" s="138"/>
      <c r="C158" s="142">
        <v>4240</v>
      </c>
      <c r="D158" s="68" t="s">
        <v>141</v>
      </c>
      <c r="E158" s="136">
        <v>1500</v>
      </c>
      <c r="F158" s="141"/>
      <c r="G158" s="141"/>
      <c r="H158" s="148">
        <f t="shared" si="10"/>
        <v>1500</v>
      </c>
    </row>
    <row r="159" spans="1:8" s="43" customFormat="1" ht="21" customHeight="1">
      <c r="A159" s="120"/>
      <c r="B159" s="138"/>
      <c r="C159" s="142">
        <v>4260</v>
      </c>
      <c r="D159" s="68" t="s">
        <v>109</v>
      </c>
      <c r="E159" s="136">
        <v>350</v>
      </c>
      <c r="F159" s="141"/>
      <c r="G159" s="141"/>
      <c r="H159" s="148">
        <f t="shared" si="10"/>
        <v>350</v>
      </c>
    </row>
    <row r="160" spans="1:8" s="43" customFormat="1" ht="21" customHeight="1">
      <c r="A160" s="120"/>
      <c r="B160" s="138"/>
      <c r="C160" s="142">
        <v>4300</v>
      </c>
      <c r="D160" s="68" t="s">
        <v>93</v>
      </c>
      <c r="E160" s="136">
        <v>1200</v>
      </c>
      <c r="F160" s="141">
        <v>1500</v>
      </c>
      <c r="G160" s="141"/>
      <c r="H160" s="148">
        <f t="shared" si="10"/>
        <v>2700</v>
      </c>
    </row>
    <row r="161" spans="1:8" s="43" customFormat="1" ht="21" customHeight="1">
      <c r="A161" s="120"/>
      <c r="B161" s="138"/>
      <c r="C161" s="142">
        <v>4440</v>
      </c>
      <c r="D161" s="68" t="s">
        <v>132</v>
      </c>
      <c r="E161" s="136">
        <v>16173</v>
      </c>
      <c r="F161" s="141"/>
      <c r="G161" s="141"/>
      <c r="H161" s="148">
        <f t="shared" si="10"/>
        <v>16173</v>
      </c>
    </row>
    <row r="162" spans="1:8" s="43" customFormat="1" ht="21.75" customHeight="1">
      <c r="A162" s="144"/>
      <c r="B162" s="138" t="s">
        <v>131</v>
      </c>
      <c r="C162" s="142"/>
      <c r="D162" s="68" t="s">
        <v>142</v>
      </c>
      <c r="E162" s="136">
        <f>SUM(E163:E164)</f>
        <v>2635055</v>
      </c>
      <c r="F162" s="136">
        <f>SUM(F163:F164)</f>
        <v>30000</v>
      </c>
      <c r="G162" s="136">
        <f>SUM(G163:G164)</f>
        <v>0</v>
      </c>
      <c r="H162" s="136">
        <f>SUM(H163:H164)</f>
        <v>2665055</v>
      </c>
    </row>
    <row r="163" spans="1:8" s="43" customFormat="1" ht="26.25" customHeight="1">
      <c r="A163" s="144"/>
      <c r="B163" s="138"/>
      <c r="C163" s="142">
        <v>2510</v>
      </c>
      <c r="D163" s="68" t="s">
        <v>143</v>
      </c>
      <c r="E163" s="136">
        <f>2635055</f>
        <v>2635055</v>
      </c>
      <c r="F163" s="141"/>
      <c r="G163" s="141"/>
      <c r="H163" s="148">
        <f>SUM(E163+F163-G163)</f>
        <v>2635055</v>
      </c>
    </row>
    <row r="164" spans="1:8" s="43" customFormat="1" ht="26.25" customHeight="1">
      <c r="A164" s="144"/>
      <c r="B164" s="138"/>
      <c r="C164" s="142">
        <v>4270</v>
      </c>
      <c r="D164" s="68" t="s">
        <v>92</v>
      </c>
      <c r="E164" s="136">
        <v>0</v>
      </c>
      <c r="F164" s="141">
        <v>30000</v>
      </c>
      <c r="G164" s="141"/>
      <c r="H164" s="148">
        <f>SUM(E164+F164-G164)</f>
        <v>30000</v>
      </c>
    </row>
    <row r="165" spans="1:8" s="43" customFormat="1" ht="21.75" customHeight="1">
      <c r="A165" s="144"/>
      <c r="B165" s="138" t="s">
        <v>133</v>
      </c>
      <c r="C165" s="142"/>
      <c r="D165" s="68" t="s">
        <v>63</v>
      </c>
      <c r="E165" s="136">
        <f>SUM(E166:E182)</f>
        <v>4254459</v>
      </c>
      <c r="F165" s="136">
        <f>SUM(F166:F182)</f>
        <v>30000</v>
      </c>
      <c r="G165" s="136">
        <f>SUM(G166:G182)</f>
        <v>0</v>
      </c>
      <c r="H165" s="136">
        <f>SUM(H166:H182)</f>
        <v>4284459</v>
      </c>
    </row>
    <row r="166" spans="1:8" s="43" customFormat="1" ht="21" customHeight="1">
      <c r="A166" s="120"/>
      <c r="B166" s="138"/>
      <c r="C166" s="142">
        <v>3020</v>
      </c>
      <c r="D166" s="68" t="s">
        <v>287</v>
      </c>
      <c r="E166" s="136">
        <v>30377</v>
      </c>
      <c r="F166" s="141"/>
      <c r="G166" s="141"/>
      <c r="H166" s="148">
        <f aca="true" t="shared" si="11" ref="H166:H182">SUM(E166+F166-G166)</f>
        <v>30377</v>
      </c>
    </row>
    <row r="167" spans="1:8" s="43" customFormat="1" ht="21" customHeight="1">
      <c r="A167" s="120"/>
      <c r="B167" s="138"/>
      <c r="C167" s="142">
        <v>4010</v>
      </c>
      <c r="D167" s="68" t="s">
        <v>98</v>
      </c>
      <c r="E167" s="136">
        <v>2799505</v>
      </c>
      <c r="F167" s="141"/>
      <c r="G167" s="141"/>
      <c r="H167" s="148">
        <f t="shared" si="11"/>
        <v>2799505</v>
      </c>
    </row>
    <row r="168" spans="1:8" s="43" customFormat="1" ht="21" customHeight="1">
      <c r="A168" s="120"/>
      <c r="B168" s="138"/>
      <c r="C168" s="142">
        <v>4040</v>
      </c>
      <c r="D168" s="68" t="s">
        <v>99</v>
      </c>
      <c r="E168" s="136">
        <v>221640</v>
      </c>
      <c r="F168" s="141"/>
      <c r="G168" s="141"/>
      <c r="H168" s="148">
        <f t="shared" si="11"/>
        <v>221640</v>
      </c>
    </row>
    <row r="169" spans="1:8" s="43" customFormat="1" ht="21" customHeight="1">
      <c r="A169" s="120"/>
      <c r="B169" s="138"/>
      <c r="C169" s="142">
        <v>4110</v>
      </c>
      <c r="D169" s="68" t="s">
        <v>100</v>
      </c>
      <c r="E169" s="136">
        <v>532621</v>
      </c>
      <c r="F169" s="141"/>
      <c r="G169" s="141"/>
      <c r="H169" s="148">
        <f t="shared" si="11"/>
        <v>532621</v>
      </c>
    </row>
    <row r="170" spans="1:8" s="43" customFormat="1" ht="21" customHeight="1">
      <c r="A170" s="120"/>
      <c r="B170" s="138"/>
      <c r="C170" s="142">
        <v>4120</v>
      </c>
      <c r="D170" s="68" t="s">
        <v>101</v>
      </c>
      <c r="E170" s="136">
        <v>74015</v>
      </c>
      <c r="F170" s="141"/>
      <c r="G170" s="141"/>
      <c r="H170" s="148">
        <f t="shared" si="11"/>
        <v>74015</v>
      </c>
    </row>
    <row r="171" spans="1:8" s="43" customFormat="1" ht="21" customHeight="1">
      <c r="A171" s="120"/>
      <c r="B171" s="138"/>
      <c r="C171" s="142">
        <v>4170</v>
      </c>
      <c r="D171" s="68" t="s">
        <v>294</v>
      </c>
      <c r="E171" s="136">
        <v>11000</v>
      </c>
      <c r="F171" s="141"/>
      <c r="G171" s="141"/>
      <c r="H171" s="148">
        <f t="shared" si="11"/>
        <v>11000</v>
      </c>
    </row>
    <row r="172" spans="1:8" s="43" customFormat="1" ht="21" customHeight="1">
      <c r="A172" s="120"/>
      <c r="B172" s="138"/>
      <c r="C172" s="142">
        <v>4210</v>
      </c>
      <c r="D172" s="68" t="s">
        <v>106</v>
      </c>
      <c r="E172" s="136">
        <v>105048</v>
      </c>
      <c r="F172" s="141"/>
      <c r="G172" s="141"/>
      <c r="H172" s="148">
        <f t="shared" si="11"/>
        <v>105048</v>
      </c>
    </row>
    <row r="173" spans="1:8" s="43" customFormat="1" ht="21" customHeight="1">
      <c r="A173" s="120"/>
      <c r="B173" s="138"/>
      <c r="C173" s="142">
        <v>4230</v>
      </c>
      <c r="D173" s="68" t="s">
        <v>130</v>
      </c>
      <c r="E173" s="136">
        <v>1200</v>
      </c>
      <c r="F173" s="141"/>
      <c r="G173" s="141"/>
      <c r="H173" s="148">
        <f t="shared" si="11"/>
        <v>1200</v>
      </c>
    </row>
    <row r="174" spans="1:8" s="43" customFormat="1" ht="21" customHeight="1">
      <c r="A174" s="120"/>
      <c r="B174" s="138"/>
      <c r="C174" s="142">
        <v>4240</v>
      </c>
      <c r="D174" s="68" t="s">
        <v>141</v>
      </c>
      <c r="E174" s="136">
        <v>4500</v>
      </c>
      <c r="F174" s="141"/>
      <c r="G174" s="141"/>
      <c r="H174" s="148">
        <f t="shared" si="11"/>
        <v>4500</v>
      </c>
    </row>
    <row r="175" spans="1:8" s="43" customFormat="1" ht="21" customHeight="1">
      <c r="A175" s="120"/>
      <c r="B175" s="138"/>
      <c r="C175" s="142">
        <v>4260</v>
      </c>
      <c r="D175" s="68" t="s">
        <v>109</v>
      </c>
      <c r="E175" s="136">
        <v>225250</v>
      </c>
      <c r="F175" s="141"/>
      <c r="G175" s="141"/>
      <c r="H175" s="148">
        <f t="shared" si="11"/>
        <v>225250</v>
      </c>
    </row>
    <row r="176" spans="1:8" s="43" customFormat="1" ht="21" customHeight="1">
      <c r="A176" s="120"/>
      <c r="B176" s="138"/>
      <c r="C176" s="142">
        <v>4270</v>
      </c>
      <c r="D176" s="68" t="s">
        <v>92</v>
      </c>
      <c r="E176" s="136">
        <v>0</v>
      </c>
      <c r="F176" s="141">
        <v>30000</v>
      </c>
      <c r="G176" s="141"/>
      <c r="H176" s="148">
        <f t="shared" si="11"/>
        <v>30000</v>
      </c>
    </row>
    <row r="177" spans="1:8" s="43" customFormat="1" ht="21" customHeight="1">
      <c r="A177" s="120"/>
      <c r="B177" s="138"/>
      <c r="C177" s="142">
        <v>4300</v>
      </c>
      <c r="D177" s="68" t="s">
        <v>93</v>
      </c>
      <c r="E177" s="136">
        <f>60300+500</f>
        <v>60800</v>
      </c>
      <c r="F177" s="141"/>
      <c r="G177" s="141"/>
      <c r="H177" s="148">
        <f t="shared" si="11"/>
        <v>60800</v>
      </c>
    </row>
    <row r="178" spans="1:8" s="43" customFormat="1" ht="21" customHeight="1">
      <c r="A178" s="120"/>
      <c r="B178" s="138"/>
      <c r="C178" s="142">
        <v>4350</v>
      </c>
      <c r="D178" s="68" t="s">
        <v>335</v>
      </c>
      <c r="E178" s="136">
        <v>5400</v>
      </c>
      <c r="F178" s="141"/>
      <c r="G178" s="141"/>
      <c r="H178" s="148">
        <f t="shared" si="11"/>
        <v>5400</v>
      </c>
    </row>
    <row r="179" spans="1:8" s="43" customFormat="1" ht="21" customHeight="1">
      <c r="A179" s="120"/>
      <c r="B179" s="138"/>
      <c r="C179" s="142">
        <v>4410</v>
      </c>
      <c r="D179" s="68" t="s">
        <v>104</v>
      </c>
      <c r="E179" s="136">
        <v>6300</v>
      </c>
      <c r="F179" s="141"/>
      <c r="G179" s="141"/>
      <c r="H179" s="148">
        <f t="shared" si="11"/>
        <v>6300</v>
      </c>
    </row>
    <row r="180" spans="1:8" s="43" customFormat="1" ht="21" customHeight="1">
      <c r="A180" s="120"/>
      <c r="B180" s="138"/>
      <c r="C180" s="142">
        <v>4430</v>
      </c>
      <c r="D180" s="68" t="s">
        <v>108</v>
      </c>
      <c r="E180" s="136">
        <v>4800</v>
      </c>
      <c r="F180" s="141"/>
      <c r="G180" s="141"/>
      <c r="H180" s="148">
        <f t="shared" si="11"/>
        <v>4800</v>
      </c>
    </row>
    <row r="181" spans="1:8" s="43" customFormat="1" ht="21" customHeight="1">
      <c r="A181" s="120"/>
      <c r="B181" s="138"/>
      <c r="C181" s="142">
        <v>4440</v>
      </c>
      <c r="D181" s="68" t="s">
        <v>102</v>
      </c>
      <c r="E181" s="136">
        <v>168503</v>
      </c>
      <c r="F181" s="141"/>
      <c r="G181" s="141"/>
      <c r="H181" s="148">
        <f t="shared" si="11"/>
        <v>168503</v>
      </c>
    </row>
    <row r="182" spans="1:8" s="43" customFormat="1" ht="21" customHeight="1">
      <c r="A182" s="120"/>
      <c r="B182" s="138"/>
      <c r="C182" s="142">
        <v>6060</v>
      </c>
      <c r="D182" s="68" t="s">
        <v>110</v>
      </c>
      <c r="E182" s="136">
        <v>3500</v>
      </c>
      <c r="F182" s="141"/>
      <c r="G182" s="141"/>
      <c r="H182" s="148">
        <f t="shared" si="11"/>
        <v>3500</v>
      </c>
    </row>
    <row r="183" spans="1:8" s="43" customFormat="1" ht="21.75" customHeight="1">
      <c r="A183" s="120"/>
      <c r="B183" s="138" t="s">
        <v>134</v>
      </c>
      <c r="C183" s="142"/>
      <c r="D183" s="68" t="s">
        <v>135</v>
      </c>
      <c r="E183" s="136">
        <f>SUM(E184:E185)</f>
        <v>362500</v>
      </c>
      <c r="F183" s="136">
        <f>SUM(F184:F185)</f>
        <v>10000</v>
      </c>
      <c r="G183" s="136">
        <f>SUM(G184:G185)</f>
        <v>10000</v>
      </c>
      <c r="H183" s="136">
        <f>SUM(H184:H185)</f>
        <v>362500</v>
      </c>
    </row>
    <row r="184" spans="1:8" s="43" customFormat="1" ht="21.75" customHeight="1">
      <c r="A184" s="120"/>
      <c r="B184" s="138"/>
      <c r="C184" s="142">
        <v>4210</v>
      </c>
      <c r="D184" s="68" t="s">
        <v>106</v>
      </c>
      <c r="E184" s="136">
        <v>0</v>
      </c>
      <c r="F184" s="136">
        <v>10000</v>
      </c>
      <c r="G184" s="136"/>
      <c r="H184" s="148">
        <f>SUM(E184+F184-G184)</f>
        <v>10000</v>
      </c>
    </row>
    <row r="185" spans="1:8" s="43" customFormat="1" ht="21" customHeight="1">
      <c r="A185" s="120"/>
      <c r="B185" s="138"/>
      <c r="C185" s="142">
        <v>4300</v>
      </c>
      <c r="D185" s="68" t="s">
        <v>93</v>
      </c>
      <c r="E185" s="136">
        <v>362500</v>
      </c>
      <c r="F185" s="141"/>
      <c r="G185" s="141">
        <v>10000</v>
      </c>
      <c r="H185" s="148">
        <f>SUM(E185+F185-G185)</f>
        <v>352500</v>
      </c>
    </row>
    <row r="186" spans="1:8" s="43" customFormat="1" ht="24" customHeight="1">
      <c r="A186" s="120"/>
      <c r="B186" s="143">
        <v>80146</v>
      </c>
      <c r="C186" s="123"/>
      <c r="D186" s="68" t="s">
        <v>196</v>
      </c>
      <c r="E186" s="136">
        <f>SUM(E187:E189)</f>
        <v>87059</v>
      </c>
      <c r="F186" s="136">
        <f>SUM(F187:F189)</f>
        <v>20540</v>
      </c>
      <c r="G186" s="136">
        <f>SUM(G187:G189)</f>
        <v>20540</v>
      </c>
      <c r="H186" s="136">
        <f>SUM(H187:H189)</f>
        <v>87059</v>
      </c>
    </row>
    <row r="187" spans="1:8" s="43" customFormat="1" ht="21" customHeight="1">
      <c r="A187" s="120"/>
      <c r="B187" s="143"/>
      <c r="C187" s="123">
        <v>2510</v>
      </c>
      <c r="D187" s="68" t="s">
        <v>143</v>
      </c>
      <c r="E187" s="136">
        <v>10679</v>
      </c>
      <c r="F187" s="141"/>
      <c r="G187" s="141"/>
      <c r="H187" s="148">
        <f>SUM(E187+F187-G187)</f>
        <v>10679</v>
      </c>
    </row>
    <row r="188" spans="1:8" s="43" customFormat="1" ht="21" customHeight="1">
      <c r="A188" s="120"/>
      <c r="B188" s="143"/>
      <c r="C188" s="123">
        <v>4300</v>
      </c>
      <c r="D188" s="68" t="s">
        <v>93</v>
      </c>
      <c r="E188" s="136">
        <v>76380</v>
      </c>
      <c r="F188" s="141"/>
      <c r="G188" s="141">
        <v>20540</v>
      </c>
      <c r="H188" s="148">
        <f>SUM(E188+F188-G188)</f>
        <v>55840</v>
      </c>
    </row>
    <row r="189" spans="1:8" s="43" customFormat="1" ht="21" customHeight="1">
      <c r="A189" s="120"/>
      <c r="B189" s="143"/>
      <c r="C189" s="123">
        <v>4410</v>
      </c>
      <c r="D189" s="68" t="s">
        <v>104</v>
      </c>
      <c r="E189" s="136">
        <v>0</v>
      </c>
      <c r="F189" s="141">
        <v>20540</v>
      </c>
      <c r="G189" s="141"/>
      <c r="H189" s="148">
        <f>SUM(E189+F189-G189)</f>
        <v>20540</v>
      </c>
    </row>
    <row r="190" spans="1:8" s="43" customFormat="1" ht="21.75" customHeight="1">
      <c r="A190" s="120"/>
      <c r="B190" s="138">
        <v>80195</v>
      </c>
      <c r="C190" s="120"/>
      <c r="D190" s="68" t="s">
        <v>6</v>
      </c>
      <c r="E190" s="136">
        <f>SUM(E191:E191)</f>
        <v>123699</v>
      </c>
      <c r="F190" s="136">
        <f>SUM(F191:F191)</f>
        <v>0</v>
      </c>
      <c r="G190" s="136">
        <f>SUM(G191:G191)</f>
        <v>0</v>
      </c>
      <c r="H190" s="136">
        <f>SUM(H191:H191)</f>
        <v>123699</v>
      </c>
    </row>
    <row r="191" spans="1:8" s="43" customFormat="1" ht="21" customHeight="1">
      <c r="A191" s="120"/>
      <c r="B191" s="138"/>
      <c r="C191" s="120">
        <v>4440</v>
      </c>
      <c r="D191" s="68" t="s">
        <v>102</v>
      </c>
      <c r="E191" s="136">
        <v>123699</v>
      </c>
      <c r="F191" s="141"/>
      <c r="G191" s="141"/>
      <c r="H191" s="148">
        <f>SUM(E191+F191-G191)</f>
        <v>123699</v>
      </c>
    </row>
    <row r="192" spans="1:8" s="8" customFormat="1" ht="24.75" customHeight="1">
      <c r="A192" s="63" t="s">
        <v>136</v>
      </c>
      <c r="B192" s="64"/>
      <c r="C192" s="65"/>
      <c r="D192" s="66" t="s">
        <v>64</v>
      </c>
      <c r="E192" s="67">
        <f>SUM(E196,E202,E193)</f>
        <v>81829</v>
      </c>
      <c r="F192" s="67">
        <f>SUM(F196,F202,F193)</f>
        <v>121679</v>
      </c>
      <c r="G192" s="67">
        <f>SUM(G196,G202,G193)</f>
        <v>81679</v>
      </c>
      <c r="H192" s="67">
        <f>SUM(H196,H202,H193)</f>
        <v>121829</v>
      </c>
    </row>
    <row r="193" spans="1:8" s="8" customFormat="1" ht="24.75" customHeight="1">
      <c r="A193" s="63"/>
      <c r="B193" s="143">
        <v>85153</v>
      </c>
      <c r="C193" s="142"/>
      <c r="D193" s="68" t="s">
        <v>479</v>
      </c>
      <c r="E193" s="136">
        <f>SUM(E194:E195)</f>
        <v>0</v>
      </c>
      <c r="F193" s="136">
        <f>SUM(F194:F195)</f>
        <v>24109</v>
      </c>
      <c r="G193" s="136">
        <f>SUM(G194:G195)</f>
        <v>0</v>
      </c>
      <c r="H193" s="136">
        <f>SUM(H194:H195)</f>
        <v>24109</v>
      </c>
    </row>
    <row r="194" spans="1:8" s="8" customFormat="1" ht="24.75" customHeight="1">
      <c r="A194" s="63"/>
      <c r="B194" s="143"/>
      <c r="C194" s="142">
        <v>4300</v>
      </c>
      <c r="D194" s="68" t="s">
        <v>93</v>
      </c>
      <c r="E194" s="136">
        <v>0</v>
      </c>
      <c r="F194" s="136">
        <v>1000</v>
      </c>
      <c r="G194" s="136"/>
      <c r="H194" s="136">
        <f>SUM(E194+F194-G194)</f>
        <v>1000</v>
      </c>
    </row>
    <row r="195" spans="1:8" s="8" customFormat="1" ht="24.75" customHeight="1">
      <c r="A195" s="63"/>
      <c r="B195" s="143"/>
      <c r="C195" s="142">
        <v>6060</v>
      </c>
      <c r="D195" s="68" t="s">
        <v>110</v>
      </c>
      <c r="E195" s="136">
        <v>0</v>
      </c>
      <c r="F195" s="136">
        <v>23109</v>
      </c>
      <c r="G195" s="136"/>
      <c r="H195" s="136">
        <f>SUM(E195+F195-G195)</f>
        <v>23109</v>
      </c>
    </row>
    <row r="196" spans="1:8" s="43" customFormat="1" ht="21" customHeight="1">
      <c r="A196" s="120"/>
      <c r="B196" s="138" t="s">
        <v>137</v>
      </c>
      <c r="C196" s="142"/>
      <c r="D196" s="68" t="s">
        <v>65</v>
      </c>
      <c r="E196" s="136">
        <f>SUM(E197:E201)</f>
        <v>76829</v>
      </c>
      <c r="F196" s="136">
        <f>SUM(F197:F201)</f>
        <v>97570</v>
      </c>
      <c r="G196" s="136">
        <f>SUM(G197:G201)</f>
        <v>81679</v>
      </c>
      <c r="H196" s="136">
        <f>SUM(H197:H201)</f>
        <v>92720</v>
      </c>
    </row>
    <row r="197" spans="1:8" s="43" customFormat="1" ht="36">
      <c r="A197" s="120"/>
      <c r="B197" s="138"/>
      <c r="C197" s="142">
        <v>2630</v>
      </c>
      <c r="D197" s="23" t="s">
        <v>450</v>
      </c>
      <c r="E197" s="136">
        <v>0</v>
      </c>
      <c r="F197" s="136">
        <v>43850</v>
      </c>
      <c r="G197" s="136"/>
      <c r="H197" s="148">
        <f>SUM(E197+F197-G197)</f>
        <v>43850</v>
      </c>
    </row>
    <row r="198" spans="1:8" s="43" customFormat="1" ht="21" customHeight="1" hidden="1">
      <c r="A198" s="120"/>
      <c r="B198" s="143"/>
      <c r="C198" s="142">
        <v>3030</v>
      </c>
      <c r="D198" s="68" t="s">
        <v>103</v>
      </c>
      <c r="E198" s="136">
        <v>15000</v>
      </c>
      <c r="F198" s="141"/>
      <c r="G198" s="141">
        <v>15000</v>
      </c>
      <c r="H198" s="148">
        <f>SUM(E198+F198-G198)</f>
        <v>0</v>
      </c>
    </row>
    <row r="199" spans="1:8" s="43" customFormat="1" ht="21" customHeight="1">
      <c r="A199" s="120"/>
      <c r="B199" s="143"/>
      <c r="C199" s="142">
        <v>4170</v>
      </c>
      <c r="D199" s="68" t="s">
        <v>294</v>
      </c>
      <c r="E199" s="136">
        <v>38720</v>
      </c>
      <c r="F199" s="141">
        <v>15000</v>
      </c>
      <c r="G199" s="141">
        <v>38720</v>
      </c>
      <c r="H199" s="148">
        <f>SUM(E199+F199-G199)</f>
        <v>15000</v>
      </c>
    </row>
    <row r="200" spans="1:8" s="43" customFormat="1" ht="21" customHeight="1">
      <c r="A200" s="120"/>
      <c r="B200" s="143"/>
      <c r="C200" s="142">
        <v>4300</v>
      </c>
      <c r="D200" s="68" t="s">
        <v>93</v>
      </c>
      <c r="E200" s="136">
        <v>0</v>
      </c>
      <c r="F200" s="141">
        <v>38720</v>
      </c>
      <c r="G200" s="141">
        <f>3850+1000</f>
        <v>4850</v>
      </c>
      <c r="H200" s="148">
        <f>SUM(E200+F200-G200)</f>
        <v>33870</v>
      </c>
    </row>
    <row r="201" spans="1:8" s="43" customFormat="1" ht="21" customHeight="1" hidden="1">
      <c r="A201" s="120"/>
      <c r="B201" s="143"/>
      <c r="C201" s="142">
        <v>6060</v>
      </c>
      <c r="D201" s="68" t="s">
        <v>110</v>
      </c>
      <c r="E201" s="136">
        <v>23109</v>
      </c>
      <c r="F201" s="141"/>
      <c r="G201" s="141">
        <v>23109</v>
      </c>
      <c r="H201" s="148">
        <f>SUM(E201+F201-G201)</f>
        <v>0</v>
      </c>
    </row>
    <row r="202" spans="1:8" s="43" customFormat="1" ht="21" customHeight="1">
      <c r="A202" s="120"/>
      <c r="B202" s="143">
        <v>85195</v>
      </c>
      <c r="C202" s="142"/>
      <c r="D202" s="68" t="s">
        <v>6</v>
      </c>
      <c r="E202" s="136">
        <f>SUM(E203)</f>
        <v>5000</v>
      </c>
      <c r="F202" s="136">
        <f>SUM(F203)</f>
        <v>0</v>
      </c>
      <c r="G202" s="136">
        <f>SUM(G203)</f>
        <v>0</v>
      </c>
      <c r="H202" s="136">
        <f>SUM(H203)</f>
        <v>5000</v>
      </c>
    </row>
    <row r="203" spans="1:8" s="43" customFormat="1" ht="21" customHeight="1">
      <c r="A203" s="120"/>
      <c r="B203" s="143"/>
      <c r="C203" s="142">
        <v>4430</v>
      </c>
      <c r="D203" s="68" t="s">
        <v>108</v>
      </c>
      <c r="E203" s="136">
        <v>5000</v>
      </c>
      <c r="F203" s="141"/>
      <c r="G203" s="141"/>
      <c r="H203" s="148">
        <f>SUM(E203+F203-G203)</f>
        <v>5000</v>
      </c>
    </row>
    <row r="204" spans="1:8" s="8" customFormat="1" ht="24.75" customHeight="1">
      <c r="A204" s="113">
        <v>852</v>
      </c>
      <c r="B204" s="64"/>
      <c r="C204" s="65"/>
      <c r="D204" s="66" t="s">
        <v>276</v>
      </c>
      <c r="E204" s="67">
        <f>E205+E220+E235+E237+E240+E242+E258+E260</f>
        <v>9861022</v>
      </c>
      <c r="F204" s="67">
        <f>F205+F220+F235+F237+F240+F242+F258+F260</f>
        <v>5569902</v>
      </c>
      <c r="G204" s="67">
        <f>G205+G220+G235+G237+G240+G242+G258+G260</f>
        <v>5569902</v>
      </c>
      <c r="H204" s="67">
        <f>H205+H220+H235+H237+H240+H242+H258+H260</f>
        <v>9861022</v>
      </c>
    </row>
    <row r="205" spans="1:8" s="43" customFormat="1" ht="42.75" customHeight="1" hidden="1">
      <c r="A205" s="163"/>
      <c r="B205" s="89">
        <v>85212</v>
      </c>
      <c r="C205" s="134"/>
      <c r="D205" s="132" t="s">
        <v>320</v>
      </c>
      <c r="E205" s="124">
        <f>SUM(E206:E219)</f>
        <v>5569902</v>
      </c>
      <c r="F205" s="124">
        <f>SUM(F206:F219)</f>
        <v>0</v>
      </c>
      <c r="G205" s="124">
        <f>SUM(G206:G219)</f>
        <v>5569902</v>
      </c>
      <c r="H205" s="124">
        <f>SUM(H206:H219)</f>
        <v>0</v>
      </c>
    </row>
    <row r="206" spans="1:8" s="43" customFormat="1" ht="21" customHeight="1" hidden="1">
      <c r="A206" s="163"/>
      <c r="B206" s="89"/>
      <c r="C206" s="134">
        <v>3020</v>
      </c>
      <c r="D206" s="68" t="s">
        <v>287</v>
      </c>
      <c r="E206" s="124">
        <v>2000</v>
      </c>
      <c r="F206" s="141"/>
      <c r="G206" s="124">
        <v>2000</v>
      </c>
      <c r="H206" s="148">
        <f aca="true" t="shared" si="12" ref="H206:H234">SUM(E206+F206-G206)</f>
        <v>0</v>
      </c>
    </row>
    <row r="207" spans="1:8" s="43" customFormat="1" ht="21" customHeight="1" hidden="1">
      <c r="A207" s="163"/>
      <c r="B207" s="89"/>
      <c r="C207" s="134">
        <v>3110</v>
      </c>
      <c r="D207" s="132" t="s">
        <v>129</v>
      </c>
      <c r="E207" s="124">
        <f>5346602-4812-23800</f>
        <v>5317990</v>
      </c>
      <c r="F207" s="141"/>
      <c r="G207" s="124">
        <f>5346602-4812-23800</f>
        <v>5317990</v>
      </c>
      <c r="H207" s="148">
        <f t="shared" si="12"/>
        <v>0</v>
      </c>
    </row>
    <row r="208" spans="1:8" s="43" customFormat="1" ht="21" customHeight="1" hidden="1">
      <c r="A208" s="163"/>
      <c r="B208" s="89"/>
      <c r="C208" s="89">
        <v>4010</v>
      </c>
      <c r="D208" s="23" t="s">
        <v>98</v>
      </c>
      <c r="E208" s="124">
        <v>110400</v>
      </c>
      <c r="F208" s="141"/>
      <c r="G208" s="124">
        <v>110400</v>
      </c>
      <c r="H208" s="148">
        <f t="shared" si="12"/>
        <v>0</v>
      </c>
    </row>
    <row r="209" spans="1:8" s="43" customFormat="1" ht="21" customHeight="1" hidden="1">
      <c r="A209" s="163"/>
      <c r="B209" s="89"/>
      <c r="C209" s="89">
        <v>4040</v>
      </c>
      <c r="D209" s="23" t="s">
        <v>99</v>
      </c>
      <c r="E209" s="124">
        <v>7500</v>
      </c>
      <c r="F209" s="141"/>
      <c r="G209" s="124">
        <v>7500</v>
      </c>
      <c r="H209" s="148">
        <f t="shared" si="12"/>
        <v>0</v>
      </c>
    </row>
    <row r="210" spans="1:8" s="43" customFormat="1" ht="21" customHeight="1" hidden="1">
      <c r="A210" s="163"/>
      <c r="B210" s="89"/>
      <c r="C210" s="89">
        <v>4110</v>
      </c>
      <c r="D210" s="23" t="s">
        <v>100</v>
      </c>
      <c r="E210" s="124">
        <f>20300+23800</f>
        <v>44100</v>
      </c>
      <c r="F210" s="141"/>
      <c r="G210" s="124">
        <f>20300+23800</f>
        <v>44100</v>
      </c>
      <c r="H210" s="148">
        <f t="shared" si="12"/>
        <v>0</v>
      </c>
    </row>
    <row r="211" spans="1:8" s="43" customFormat="1" ht="21" customHeight="1" hidden="1">
      <c r="A211" s="163"/>
      <c r="B211" s="89"/>
      <c r="C211" s="89">
        <v>4120</v>
      </c>
      <c r="D211" s="23" t="s">
        <v>101</v>
      </c>
      <c r="E211" s="124">
        <v>2800</v>
      </c>
      <c r="F211" s="141"/>
      <c r="G211" s="124">
        <v>2800</v>
      </c>
      <c r="H211" s="148">
        <f t="shared" si="12"/>
        <v>0</v>
      </c>
    </row>
    <row r="212" spans="1:8" s="43" customFormat="1" ht="21" customHeight="1" hidden="1">
      <c r="A212" s="163"/>
      <c r="B212" s="133"/>
      <c r="C212" s="89">
        <v>4170</v>
      </c>
      <c r="D212" s="68" t="s">
        <v>294</v>
      </c>
      <c r="E212" s="124">
        <v>10000</v>
      </c>
      <c r="F212" s="141"/>
      <c r="G212" s="124">
        <v>10000</v>
      </c>
      <c r="H212" s="148">
        <f t="shared" si="12"/>
        <v>0</v>
      </c>
    </row>
    <row r="213" spans="1:8" s="43" customFormat="1" ht="21" customHeight="1" hidden="1">
      <c r="A213" s="163"/>
      <c r="B213" s="133"/>
      <c r="C213" s="89">
        <v>4210</v>
      </c>
      <c r="D213" s="23" t="s">
        <v>106</v>
      </c>
      <c r="E213" s="124">
        <f>4812+20000</f>
        <v>24812</v>
      </c>
      <c r="F213" s="141"/>
      <c r="G213" s="124">
        <f>4812+20000</f>
        <v>24812</v>
      </c>
      <c r="H213" s="148">
        <f t="shared" si="12"/>
        <v>0</v>
      </c>
    </row>
    <row r="214" spans="1:8" s="43" customFormat="1" ht="21" customHeight="1" hidden="1">
      <c r="A214" s="163"/>
      <c r="B214" s="133"/>
      <c r="C214" s="89">
        <v>4280</v>
      </c>
      <c r="D214" s="23" t="s">
        <v>355</v>
      </c>
      <c r="E214" s="124">
        <v>500</v>
      </c>
      <c r="F214" s="141"/>
      <c r="G214" s="124">
        <v>500</v>
      </c>
      <c r="H214" s="148">
        <f t="shared" si="12"/>
        <v>0</v>
      </c>
    </row>
    <row r="215" spans="1:8" s="43" customFormat="1" ht="21" customHeight="1" hidden="1">
      <c r="A215" s="163"/>
      <c r="B215" s="133"/>
      <c r="C215" s="89">
        <v>4300</v>
      </c>
      <c r="D215" s="23" t="s">
        <v>93</v>
      </c>
      <c r="E215" s="124">
        <v>39000</v>
      </c>
      <c r="F215" s="141"/>
      <c r="G215" s="124">
        <v>39000</v>
      </c>
      <c r="H215" s="148">
        <f t="shared" si="12"/>
        <v>0</v>
      </c>
    </row>
    <row r="216" spans="1:8" s="43" customFormat="1" ht="21" customHeight="1" hidden="1">
      <c r="A216" s="163"/>
      <c r="B216" s="133"/>
      <c r="C216" s="89">
        <v>4350</v>
      </c>
      <c r="D216" s="23" t="s">
        <v>357</v>
      </c>
      <c r="E216" s="124">
        <v>2000</v>
      </c>
      <c r="F216" s="141"/>
      <c r="G216" s="124">
        <v>2000</v>
      </c>
      <c r="H216" s="148">
        <f t="shared" si="12"/>
        <v>0</v>
      </c>
    </row>
    <row r="217" spans="1:8" s="43" customFormat="1" ht="21" customHeight="1" hidden="1">
      <c r="A217" s="163"/>
      <c r="B217" s="133"/>
      <c r="C217" s="89">
        <v>4410</v>
      </c>
      <c r="D217" s="23" t="s">
        <v>104</v>
      </c>
      <c r="E217" s="124">
        <v>3000</v>
      </c>
      <c r="F217" s="141"/>
      <c r="G217" s="124">
        <v>3000</v>
      </c>
      <c r="H217" s="148">
        <f t="shared" si="12"/>
        <v>0</v>
      </c>
    </row>
    <row r="218" spans="1:8" s="43" customFormat="1" ht="21" customHeight="1" hidden="1">
      <c r="A218" s="163"/>
      <c r="B218" s="133"/>
      <c r="C218" s="89">
        <v>4430</v>
      </c>
      <c r="D218" s="68" t="s">
        <v>108</v>
      </c>
      <c r="E218" s="124">
        <v>2000</v>
      </c>
      <c r="F218" s="141"/>
      <c r="G218" s="124">
        <v>2000</v>
      </c>
      <c r="H218" s="148">
        <f t="shared" si="12"/>
        <v>0</v>
      </c>
    </row>
    <row r="219" spans="1:8" s="43" customFormat="1" ht="21" customHeight="1" hidden="1">
      <c r="A219" s="163"/>
      <c r="B219" s="133"/>
      <c r="C219" s="89">
        <v>4440</v>
      </c>
      <c r="D219" s="23" t="s">
        <v>102</v>
      </c>
      <c r="E219" s="124">
        <v>3800</v>
      </c>
      <c r="F219" s="141"/>
      <c r="G219" s="124">
        <v>3800</v>
      </c>
      <c r="H219" s="148">
        <f t="shared" si="12"/>
        <v>0</v>
      </c>
    </row>
    <row r="220" spans="1:8" s="43" customFormat="1" ht="36">
      <c r="A220" s="163"/>
      <c r="B220" s="89">
        <v>85212</v>
      </c>
      <c r="C220" s="134"/>
      <c r="D220" s="132" t="s">
        <v>448</v>
      </c>
      <c r="E220" s="124">
        <f>SUM(E221:E234)</f>
        <v>0</v>
      </c>
      <c r="F220" s="124">
        <f>SUM(F221:F234)</f>
        <v>5569902</v>
      </c>
      <c r="G220" s="124">
        <f>SUM(G221:G234)</f>
        <v>0</v>
      </c>
      <c r="H220" s="148">
        <f t="shared" si="12"/>
        <v>5569902</v>
      </c>
    </row>
    <row r="221" spans="1:8" s="43" customFormat="1" ht="21" customHeight="1">
      <c r="A221" s="163"/>
      <c r="B221" s="89"/>
      <c r="C221" s="134">
        <v>3020</v>
      </c>
      <c r="D221" s="68" t="s">
        <v>287</v>
      </c>
      <c r="E221" s="124">
        <v>0</v>
      </c>
      <c r="F221" s="124">
        <v>2000</v>
      </c>
      <c r="G221" s="141"/>
      <c r="H221" s="148">
        <f t="shared" si="12"/>
        <v>2000</v>
      </c>
    </row>
    <row r="222" spans="1:8" s="43" customFormat="1" ht="21" customHeight="1">
      <c r="A222" s="163"/>
      <c r="B222" s="89"/>
      <c r="C222" s="134">
        <v>3110</v>
      </c>
      <c r="D222" s="132" t="s">
        <v>129</v>
      </c>
      <c r="E222" s="124">
        <v>0</v>
      </c>
      <c r="F222" s="124">
        <f>5346602-4812-23800</f>
        <v>5317990</v>
      </c>
      <c r="G222" s="141"/>
      <c r="H222" s="148">
        <f t="shared" si="12"/>
        <v>5317990</v>
      </c>
    </row>
    <row r="223" spans="1:8" s="43" customFormat="1" ht="21" customHeight="1">
      <c r="A223" s="163"/>
      <c r="B223" s="89"/>
      <c r="C223" s="89">
        <v>4010</v>
      </c>
      <c r="D223" s="23" t="s">
        <v>98</v>
      </c>
      <c r="E223" s="124">
        <v>0</v>
      </c>
      <c r="F223" s="124">
        <v>110400</v>
      </c>
      <c r="G223" s="141"/>
      <c r="H223" s="148">
        <f t="shared" si="12"/>
        <v>110400</v>
      </c>
    </row>
    <row r="224" spans="1:8" s="43" customFormat="1" ht="21" customHeight="1">
      <c r="A224" s="163"/>
      <c r="B224" s="89"/>
      <c r="C224" s="89">
        <v>4040</v>
      </c>
      <c r="D224" s="23" t="s">
        <v>99</v>
      </c>
      <c r="E224" s="124">
        <v>0</v>
      </c>
      <c r="F224" s="124">
        <v>7500</v>
      </c>
      <c r="G224" s="141"/>
      <c r="H224" s="148">
        <f t="shared" si="12"/>
        <v>7500</v>
      </c>
    </row>
    <row r="225" spans="1:8" s="43" customFormat="1" ht="21" customHeight="1">
      <c r="A225" s="163"/>
      <c r="B225" s="89"/>
      <c r="C225" s="89">
        <v>4110</v>
      </c>
      <c r="D225" s="23" t="s">
        <v>100</v>
      </c>
      <c r="E225" s="124">
        <v>0</v>
      </c>
      <c r="F225" s="124">
        <f>20300+23800</f>
        <v>44100</v>
      </c>
      <c r="G225" s="141"/>
      <c r="H225" s="148">
        <f t="shared" si="12"/>
        <v>44100</v>
      </c>
    </row>
    <row r="226" spans="1:8" s="43" customFormat="1" ht="21" customHeight="1">
      <c r="A226" s="163"/>
      <c r="B226" s="89"/>
      <c r="C226" s="89">
        <v>4120</v>
      </c>
      <c r="D226" s="23" t="s">
        <v>101</v>
      </c>
      <c r="E226" s="124">
        <v>0</v>
      </c>
      <c r="F226" s="124">
        <v>2800</v>
      </c>
      <c r="G226" s="141"/>
      <c r="H226" s="148">
        <f t="shared" si="12"/>
        <v>2800</v>
      </c>
    </row>
    <row r="227" spans="1:8" s="43" customFormat="1" ht="21" customHeight="1">
      <c r="A227" s="163"/>
      <c r="B227" s="133"/>
      <c r="C227" s="89">
        <v>4170</v>
      </c>
      <c r="D227" s="68" t="s">
        <v>294</v>
      </c>
      <c r="E227" s="124">
        <v>0</v>
      </c>
      <c r="F227" s="124">
        <v>10000</v>
      </c>
      <c r="G227" s="141"/>
      <c r="H227" s="148">
        <f t="shared" si="12"/>
        <v>10000</v>
      </c>
    </row>
    <row r="228" spans="1:8" s="43" customFormat="1" ht="21" customHeight="1">
      <c r="A228" s="163"/>
      <c r="B228" s="133"/>
      <c r="C228" s="89">
        <v>4210</v>
      </c>
      <c r="D228" s="23" t="s">
        <v>106</v>
      </c>
      <c r="E228" s="124">
        <v>0</v>
      </c>
      <c r="F228" s="124">
        <f>4812+20000</f>
        <v>24812</v>
      </c>
      <c r="G228" s="141"/>
      <c r="H228" s="148">
        <f t="shared" si="12"/>
        <v>24812</v>
      </c>
    </row>
    <row r="229" spans="1:8" s="43" customFormat="1" ht="21" customHeight="1">
      <c r="A229" s="163"/>
      <c r="B229" s="133"/>
      <c r="C229" s="89">
        <v>4280</v>
      </c>
      <c r="D229" s="23" t="s">
        <v>355</v>
      </c>
      <c r="E229" s="124">
        <v>0</v>
      </c>
      <c r="F229" s="124">
        <v>500</v>
      </c>
      <c r="G229" s="141"/>
      <c r="H229" s="148">
        <f t="shared" si="12"/>
        <v>500</v>
      </c>
    </row>
    <row r="230" spans="1:8" s="43" customFormat="1" ht="21" customHeight="1">
      <c r="A230" s="163"/>
      <c r="B230" s="133"/>
      <c r="C230" s="89">
        <v>4300</v>
      </c>
      <c r="D230" s="23" t="s">
        <v>93</v>
      </c>
      <c r="E230" s="124">
        <v>0</v>
      </c>
      <c r="F230" s="124">
        <v>39000</v>
      </c>
      <c r="G230" s="141"/>
      <c r="H230" s="148">
        <f t="shared" si="12"/>
        <v>39000</v>
      </c>
    </row>
    <row r="231" spans="1:8" s="43" customFormat="1" ht="21" customHeight="1">
      <c r="A231" s="163"/>
      <c r="B231" s="133"/>
      <c r="C231" s="89">
        <v>4350</v>
      </c>
      <c r="D231" s="23" t="s">
        <v>357</v>
      </c>
      <c r="E231" s="124">
        <v>0</v>
      </c>
      <c r="F231" s="124">
        <v>2000</v>
      </c>
      <c r="G231" s="141"/>
      <c r="H231" s="148">
        <f t="shared" si="12"/>
        <v>2000</v>
      </c>
    </row>
    <row r="232" spans="1:8" s="43" customFormat="1" ht="21" customHeight="1">
      <c r="A232" s="163"/>
      <c r="B232" s="133"/>
      <c r="C232" s="89">
        <v>4410</v>
      </c>
      <c r="D232" s="23" t="s">
        <v>104</v>
      </c>
      <c r="E232" s="124">
        <v>0</v>
      </c>
      <c r="F232" s="124">
        <v>3000</v>
      </c>
      <c r="G232" s="141"/>
      <c r="H232" s="148">
        <f t="shared" si="12"/>
        <v>3000</v>
      </c>
    </row>
    <row r="233" spans="1:8" s="43" customFormat="1" ht="21" customHeight="1">
      <c r="A233" s="163"/>
      <c r="B233" s="133"/>
      <c r="C233" s="89">
        <v>4430</v>
      </c>
      <c r="D233" s="68" t="s">
        <v>108</v>
      </c>
      <c r="E233" s="124">
        <v>0</v>
      </c>
      <c r="F233" s="124">
        <v>2000</v>
      </c>
      <c r="G233" s="141"/>
      <c r="H233" s="148">
        <f t="shared" si="12"/>
        <v>2000</v>
      </c>
    </row>
    <row r="234" spans="1:8" s="43" customFormat="1" ht="21" customHeight="1">
      <c r="A234" s="163"/>
      <c r="B234" s="133"/>
      <c r="C234" s="89">
        <v>4440</v>
      </c>
      <c r="D234" s="23" t="s">
        <v>102</v>
      </c>
      <c r="E234" s="124">
        <v>0</v>
      </c>
      <c r="F234" s="124">
        <v>3800</v>
      </c>
      <c r="G234" s="141"/>
      <c r="H234" s="148">
        <f t="shared" si="12"/>
        <v>3800</v>
      </c>
    </row>
    <row r="235" spans="1:8" s="43" customFormat="1" ht="60" customHeight="1">
      <c r="A235" s="120"/>
      <c r="B235" s="143">
        <v>85213</v>
      </c>
      <c r="C235" s="142"/>
      <c r="D235" s="68" t="s">
        <v>274</v>
      </c>
      <c r="E235" s="136">
        <f>SUM(E236)</f>
        <v>74700</v>
      </c>
      <c r="F235" s="136">
        <f>SUM(F236)</f>
        <v>0</v>
      </c>
      <c r="G235" s="136">
        <f>SUM(G236)</f>
        <v>0</v>
      </c>
      <c r="H235" s="136">
        <f>SUM(H236)</f>
        <v>74700</v>
      </c>
    </row>
    <row r="236" spans="1:8" s="43" customFormat="1" ht="21" customHeight="1">
      <c r="A236" s="120"/>
      <c r="B236" s="143"/>
      <c r="C236" s="142">
        <v>4130</v>
      </c>
      <c r="D236" s="68" t="s">
        <v>138</v>
      </c>
      <c r="E236" s="136">
        <f>38000+36700</f>
        <v>74700</v>
      </c>
      <c r="F236" s="141"/>
      <c r="G236" s="141"/>
      <c r="H236" s="148">
        <f>SUM(E236+F236-G236)</f>
        <v>74700</v>
      </c>
    </row>
    <row r="237" spans="1:8" s="43" customFormat="1" ht="33.75" customHeight="1">
      <c r="A237" s="120"/>
      <c r="B237" s="138">
        <v>85214</v>
      </c>
      <c r="C237" s="142"/>
      <c r="D237" s="68" t="s">
        <v>334</v>
      </c>
      <c r="E237" s="136">
        <f>SUM(E238:E239)</f>
        <v>1508400</v>
      </c>
      <c r="F237" s="136">
        <f>SUM(F238:F239)</f>
        <v>0</v>
      </c>
      <c r="G237" s="136">
        <f>SUM(G238:G239)</f>
        <v>0</v>
      </c>
      <c r="H237" s="136">
        <f>SUM(H238:H239)</f>
        <v>1508400</v>
      </c>
    </row>
    <row r="238" spans="1:8" s="43" customFormat="1" ht="21" customHeight="1">
      <c r="A238" s="120"/>
      <c r="B238" s="138"/>
      <c r="C238" s="142">
        <v>3110</v>
      </c>
      <c r="D238" s="68" t="s">
        <v>129</v>
      </c>
      <c r="E238" s="136">
        <f>1002400+503000</f>
        <v>1505400</v>
      </c>
      <c r="F238" s="141"/>
      <c r="G238" s="141"/>
      <c r="H238" s="148">
        <f>SUM(E238+F238-G238)</f>
        <v>1505400</v>
      </c>
    </row>
    <row r="239" spans="1:8" s="43" customFormat="1" ht="21" customHeight="1">
      <c r="A239" s="120"/>
      <c r="B239" s="138"/>
      <c r="C239" s="142">
        <v>4110</v>
      </c>
      <c r="D239" s="68" t="s">
        <v>100</v>
      </c>
      <c r="E239" s="136">
        <v>3000</v>
      </c>
      <c r="F239" s="141"/>
      <c r="G239" s="141"/>
      <c r="H239" s="148">
        <f>SUM(E239+F239-G239)</f>
        <v>3000</v>
      </c>
    </row>
    <row r="240" spans="1:8" s="43" customFormat="1" ht="21.75" customHeight="1">
      <c r="A240" s="120"/>
      <c r="B240" s="138">
        <v>85215</v>
      </c>
      <c r="C240" s="142"/>
      <c r="D240" s="68" t="s">
        <v>69</v>
      </c>
      <c r="E240" s="136">
        <f>SUM(E241)</f>
        <v>1550000</v>
      </c>
      <c r="F240" s="136">
        <f>SUM(F241)</f>
        <v>0</v>
      </c>
      <c r="G240" s="136">
        <f>SUM(G241)</f>
        <v>0</v>
      </c>
      <c r="H240" s="136">
        <f>SUM(H241)</f>
        <v>1550000</v>
      </c>
    </row>
    <row r="241" spans="1:8" s="43" customFormat="1" ht="21" customHeight="1">
      <c r="A241" s="120"/>
      <c r="B241" s="138"/>
      <c r="C241" s="142">
        <v>3110</v>
      </c>
      <c r="D241" s="68" t="s">
        <v>129</v>
      </c>
      <c r="E241" s="136">
        <v>1550000</v>
      </c>
      <c r="F241" s="141"/>
      <c r="G241" s="141"/>
      <c r="H241" s="148">
        <f>SUM(E241+F241-G241)</f>
        <v>1550000</v>
      </c>
    </row>
    <row r="242" spans="1:8" s="43" customFormat="1" ht="21.75" customHeight="1">
      <c r="A242" s="120"/>
      <c r="B242" s="138">
        <v>85219</v>
      </c>
      <c r="C242" s="142"/>
      <c r="D242" s="68" t="s">
        <v>70</v>
      </c>
      <c r="E242" s="136">
        <f>SUM(E243:E257)</f>
        <v>870954</v>
      </c>
      <c r="F242" s="136">
        <f>SUM(F243:F257)</f>
        <v>0</v>
      </c>
      <c r="G242" s="136">
        <f>SUM(G243:G257)</f>
        <v>0</v>
      </c>
      <c r="H242" s="136">
        <f>SUM(H243:H257)</f>
        <v>870954</v>
      </c>
    </row>
    <row r="243" spans="1:8" s="43" customFormat="1" ht="21" customHeight="1">
      <c r="A243" s="120"/>
      <c r="B243" s="138"/>
      <c r="C243" s="142">
        <v>3020</v>
      </c>
      <c r="D243" s="68" t="s">
        <v>343</v>
      </c>
      <c r="E243" s="136">
        <v>1400</v>
      </c>
      <c r="F243" s="141"/>
      <c r="G243" s="141"/>
      <c r="H243" s="148">
        <f aca="true" t="shared" si="13" ref="H243:H257">SUM(E243+F243-G243)</f>
        <v>1400</v>
      </c>
    </row>
    <row r="244" spans="1:8" s="43" customFormat="1" ht="21" customHeight="1">
      <c r="A244" s="120"/>
      <c r="B244" s="138"/>
      <c r="C244" s="142">
        <v>4010</v>
      </c>
      <c r="D244" s="68" t="s">
        <v>98</v>
      </c>
      <c r="E244" s="136">
        <v>432615</v>
      </c>
      <c r="F244" s="141"/>
      <c r="G244" s="141"/>
      <c r="H244" s="148">
        <f t="shared" si="13"/>
        <v>432615</v>
      </c>
    </row>
    <row r="245" spans="1:8" s="43" customFormat="1" ht="21" customHeight="1">
      <c r="A245" s="120"/>
      <c r="B245" s="138"/>
      <c r="C245" s="142">
        <v>4040</v>
      </c>
      <c r="D245" s="68" t="s">
        <v>99</v>
      </c>
      <c r="E245" s="136">
        <v>34520</v>
      </c>
      <c r="F245" s="141"/>
      <c r="G245" s="141"/>
      <c r="H245" s="148">
        <f t="shared" si="13"/>
        <v>34520</v>
      </c>
    </row>
    <row r="246" spans="1:8" s="43" customFormat="1" ht="21" customHeight="1">
      <c r="A246" s="120"/>
      <c r="B246" s="138"/>
      <c r="C246" s="142">
        <v>4110</v>
      </c>
      <c r="D246" s="68" t="s">
        <v>100</v>
      </c>
      <c r="E246" s="136">
        <v>83178</v>
      </c>
      <c r="F246" s="141"/>
      <c r="G246" s="141"/>
      <c r="H246" s="148">
        <f t="shared" si="13"/>
        <v>83178</v>
      </c>
    </row>
    <row r="247" spans="1:8" s="43" customFormat="1" ht="21" customHeight="1">
      <c r="A247" s="120"/>
      <c r="B247" s="138"/>
      <c r="C247" s="142">
        <v>4120</v>
      </c>
      <c r="D247" s="68" t="s">
        <v>101</v>
      </c>
      <c r="E247" s="136">
        <v>11445</v>
      </c>
      <c r="F247" s="141"/>
      <c r="G247" s="141"/>
      <c r="H247" s="148">
        <f t="shared" si="13"/>
        <v>11445</v>
      </c>
    </row>
    <row r="248" spans="1:8" s="43" customFormat="1" ht="21" customHeight="1">
      <c r="A248" s="120"/>
      <c r="B248" s="138"/>
      <c r="C248" s="142">
        <v>4170</v>
      </c>
      <c r="D248" s="68" t="s">
        <v>294</v>
      </c>
      <c r="E248" s="136">
        <v>24700</v>
      </c>
      <c r="F248" s="141"/>
      <c r="G248" s="141"/>
      <c r="H248" s="148">
        <f t="shared" si="13"/>
        <v>24700</v>
      </c>
    </row>
    <row r="249" spans="1:8" s="43" customFormat="1" ht="21" customHeight="1">
      <c r="A249" s="120"/>
      <c r="B249" s="138"/>
      <c r="C249" s="142">
        <v>4210</v>
      </c>
      <c r="D249" s="68" t="s">
        <v>106</v>
      </c>
      <c r="E249" s="136">
        <v>31600</v>
      </c>
      <c r="F249" s="141"/>
      <c r="G249" s="141"/>
      <c r="H249" s="148">
        <f t="shared" si="13"/>
        <v>31600</v>
      </c>
    </row>
    <row r="250" spans="1:8" s="43" customFormat="1" ht="21" customHeight="1">
      <c r="A250" s="120"/>
      <c r="B250" s="138"/>
      <c r="C250" s="142">
        <v>4220</v>
      </c>
      <c r="D250" s="68" t="s">
        <v>261</v>
      </c>
      <c r="E250" s="136">
        <v>65000</v>
      </c>
      <c r="F250" s="141"/>
      <c r="G250" s="141"/>
      <c r="H250" s="148">
        <f t="shared" si="13"/>
        <v>65000</v>
      </c>
    </row>
    <row r="251" spans="1:8" s="43" customFormat="1" ht="21" customHeight="1">
      <c r="A251" s="120"/>
      <c r="B251" s="138"/>
      <c r="C251" s="142">
        <v>4260</v>
      </c>
      <c r="D251" s="68" t="s">
        <v>109</v>
      </c>
      <c r="E251" s="136">
        <v>10560</v>
      </c>
      <c r="F251" s="141"/>
      <c r="G251" s="141"/>
      <c r="H251" s="148">
        <f t="shared" si="13"/>
        <v>10560</v>
      </c>
    </row>
    <row r="252" spans="1:8" s="43" customFormat="1" ht="21" customHeight="1">
      <c r="A252" s="120"/>
      <c r="B252" s="138"/>
      <c r="C252" s="142">
        <v>4280</v>
      </c>
      <c r="D252" s="68" t="s">
        <v>311</v>
      </c>
      <c r="E252" s="136">
        <v>1850</v>
      </c>
      <c r="F252" s="141"/>
      <c r="G252" s="141"/>
      <c r="H252" s="148">
        <f t="shared" si="13"/>
        <v>1850</v>
      </c>
    </row>
    <row r="253" spans="1:8" s="43" customFormat="1" ht="21" customHeight="1">
      <c r="A253" s="120"/>
      <c r="B253" s="138"/>
      <c r="C253" s="142">
        <v>4300</v>
      </c>
      <c r="D253" s="68" t="s">
        <v>93</v>
      </c>
      <c r="E253" s="136">
        <v>151628</v>
      </c>
      <c r="F253" s="141"/>
      <c r="G253" s="141"/>
      <c r="H253" s="148">
        <f t="shared" si="13"/>
        <v>151628</v>
      </c>
    </row>
    <row r="254" spans="1:8" s="43" customFormat="1" ht="21" customHeight="1">
      <c r="A254" s="120"/>
      <c r="B254" s="138"/>
      <c r="C254" s="142">
        <v>4350</v>
      </c>
      <c r="D254" s="68" t="s">
        <v>335</v>
      </c>
      <c r="E254" s="136">
        <v>920</v>
      </c>
      <c r="F254" s="141"/>
      <c r="G254" s="141"/>
      <c r="H254" s="148">
        <f t="shared" si="13"/>
        <v>920</v>
      </c>
    </row>
    <row r="255" spans="1:8" s="43" customFormat="1" ht="21" customHeight="1">
      <c r="A255" s="120"/>
      <c r="B255" s="138"/>
      <c r="C255" s="142">
        <v>4410</v>
      </c>
      <c r="D255" s="68" t="s">
        <v>104</v>
      </c>
      <c r="E255" s="136">
        <v>5700</v>
      </c>
      <c r="F255" s="141"/>
      <c r="G255" s="141"/>
      <c r="H255" s="148">
        <f t="shared" si="13"/>
        <v>5700</v>
      </c>
    </row>
    <row r="256" spans="1:8" s="43" customFormat="1" ht="21" customHeight="1">
      <c r="A256" s="120"/>
      <c r="B256" s="138"/>
      <c r="C256" s="142">
        <v>4430</v>
      </c>
      <c r="D256" s="68" t="s">
        <v>108</v>
      </c>
      <c r="E256" s="136">
        <v>1200</v>
      </c>
      <c r="F256" s="141"/>
      <c r="G256" s="141"/>
      <c r="H256" s="148">
        <f t="shared" si="13"/>
        <v>1200</v>
      </c>
    </row>
    <row r="257" spans="1:8" s="43" customFormat="1" ht="21" customHeight="1">
      <c r="A257" s="120"/>
      <c r="B257" s="138"/>
      <c r="C257" s="142">
        <v>4440</v>
      </c>
      <c r="D257" s="68" t="s">
        <v>102</v>
      </c>
      <c r="E257" s="136">
        <v>14638</v>
      </c>
      <c r="F257" s="141"/>
      <c r="G257" s="141"/>
      <c r="H257" s="148">
        <f t="shared" si="13"/>
        <v>14638</v>
      </c>
    </row>
    <row r="258" spans="1:8" s="43" customFormat="1" ht="21.75" customHeight="1">
      <c r="A258" s="120"/>
      <c r="B258" s="138">
        <v>85228</v>
      </c>
      <c r="C258" s="142"/>
      <c r="D258" s="68" t="s">
        <v>139</v>
      </c>
      <c r="E258" s="136">
        <f>SUM(E259)</f>
        <v>140000</v>
      </c>
      <c r="F258" s="136">
        <f>SUM(F259)</f>
        <v>0</v>
      </c>
      <c r="G258" s="136">
        <f>SUM(G259)</f>
        <v>0</v>
      </c>
      <c r="H258" s="136">
        <f>SUM(H259)</f>
        <v>140000</v>
      </c>
    </row>
    <row r="259" spans="1:8" s="43" customFormat="1" ht="21" customHeight="1">
      <c r="A259" s="120"/>
      <c r="B259" s="138"/>
      <c r="C259" s="142">
        <v>4300</v>
      </c>
      <c r="D259" s="68" t="s">
        <v>93</v>
      </c>
      <c r="E259" s="136">
        <v>140000</v>
      </c>
      <c r="F259" s="141"/>
      <c r="G259" s="141"/>
      <c r="H259" s="148">
        <f>SUM(E259+F259-G259)</f>
        <v>140000</v>
      </c>
    </row>
    <row r="260" spans="1:8" s="43" customFormat="1" ht="21.75" customHeight="1">
      <c r="A260" s="120"/>
      <c r="B260" s="138" t="s">
        <v>232</v>
      </c>
      <c r="C260" s="142"/>
      <c r="D260" s="68" t="s">
        <v>6</v>
      </c>
      <c r="E260" s="136">
        <f>SUM(E261:E262)</f>
        <v>147066</v>
      </c>
      <c r="F260" s="136">
        <f>SUM(F261:F262)</f>
        <v>0</v>
      </c>
      <c r="G260" s="136">
        <f>SUM(G261:G262)</f>
        <v>0</v>
      </c>
      <c r="H260" s="136">
        <f>SUM(H261:H262)</f>
        <v>147066</v>
      </c>
    </row>
    <row r="261" spans="1:8" s="43" customFormat="1" ht="21" customHeight="1">
      <c r="A261" s="120"/>
      <c r="B261" s="138"/>
      <c r="C261" s="142">
        <v>3110</v>
      </c>
      <c r="D261" s="68" t="s">
        <v>129</v>
      </c>
      <c r="E261" s="136">
        <v>141546</v>
      </c>
      <c r="F261" s="136"/>
      <c r="G261" s="136"/>
      <c r="H261" s="148">
        <f>SUM(E261+F261-G261)</f>
        <v>141546</v>
      </c>
    </row>
    <row r="262" spans="1:8" s="43" customFormat="1" ht="21" customHeight="1">
      <c r="A262" s="120"/>
      <c r="B262" s="138"/>
      <c r="C262" s="142">
        <v>4430</v>
      </c>
      <c r="D262" s="68" t="s">
        <v>108</v>
      </c>
      <c r="E262" s="136">
        <v>5520</v>
      </c>
      <c r="F262" s="136"/>
      <c r="G262" s="136"/>
      <c r="H262" s="148">
        <f>SUM(E262+F262-G262)</f>
        <v>5520</v>
      </c>
    </row>
    <row r="263" spans="1:8" s="9" customFormat="1" ht="24.75" customHeight="1">
      <c r="A263" s="63" t="s">
        <v>140</v>
      </c>
      <c r="B263" s="64"/>
      <c r="C263" s="65"/>
      <c r="D263" s="66" t="s">
        <v>71</v>
      </c>
      <c r="E263" s="67">
        <f>SUM(E264,E276,E282,E279)</f>
        <v>1022422</v>
      </c>
      <c r="F263" s="67">
        <f>SUM(F264,F276,F282,F279)</f>
        <v>887</v>
      </c>
      <c r="G263" s="67">
        <f>SUM(G264,G276,G282,G279)</f>
        <v>40887</v>
      </c>
      <c r="H263" s="67">
        <f>SUM(H264,H276,H282,H279)</f>
        <v>982422</v>
      </c>
    </row>
    <row r="264" spans="1:8" s="43" customFormat="1" ht="21.75" customHeight="1">
      <c r="A264" s="120"/>
      <c r="B264" s="138">
        <v>85401</v>
      </c>
      <c r="C264" s="142"/>
      <c r="D264" s="68" t="s">
        <v>72</v>
      </c>
      <c r="E264" s="136">
        <f>SUM(E265:E275)</f>
        <v>611899</v>
      </c>
      <c r="F264" s="136">
        <f>SUM(F265:F275)</f>
        <v>0</v>
      </c>
      <c r="G264" s="136">
        <f>SUM(G265:G275)</f>
        <v>0</v>
      </c>
      <c r="H264" s="136">
        <f>SUM(H265:H275)</f>
        <v>611899</v>
      </c>
    </row>
    <row r="265" spans="1:8" s="43" customFormat="1" ht="21" customHeight="1">
      <c r="A265" s="120"/>
      <c r="B265" s="138"/>
      <c r="C265" s="142">
        <v>3020</v>
      </c>
      <c r="D265" s="68" t="s">
        <v>343</v>
      </c>
      <c r="E265" s="136">
        <v>9916</v>
      </c>
      <c r="F265" s="141"/>
      <c r="G265" s="141"/>
      <c r="H265" s="148">
        <f aca="true" t="shared" si="14" ref="H265:H275">SUM(E265+F265-G265)</f>
        <v>9916</v>
      </c>
    </row>
    <row r="266" spans="1:8" s="43" customFormat="1" ht="21" customHeight="1">
      <c r="A266" s="120"/>
      <c r="B266" s="138"/>
      <c r="C266" s="142">
        <v>4010</v>
      </c>
      <c r="D266" s="68" t="s">
        <v>98</v>
      </c>
      <c r="E266" s="136">
        <v>420588</v>
      </c>
      <c r="F266" s="141"/>
      <c r="G266" s="141"/>
      <c r="H266" s="148">
        <f t="shared" si="14"/>
        <v>420588</v>
      </c>
    </row>
    <row r="267" spans="1:8" s="43" customFormat="1" ht="21" customHeight="1">
      <c r="A267" s="120"/>
      <c r="B267" s="138"/>
      <c r="C267" s="142">
        <v>4040</v>
      </c>
      <c r="D267" s="68" t="s">
        <v>99</v>
      </c>
      <c r="E267" s="136">
        <v>32640</v>
      </c>
      <c r="F267" s="141"/>
      <c r="G267" s="141"/>
      <c r="H267" s="148">
        <f t="shared" si="14"/>
        <v>32640</v>
      </c>
    </row>
    <row r="268" spans="1:8" s="43" customFormat="1" ht="21" customHeight="1">
      <c r="A268" s="120"/>
      <c r="B268" s="138"/>
      <c r="C268" s="142">
        <v>4110</v>
      </c>
      <c r="D268" s="68" t="s">
        <v>100</v>
      </c>
      <c r="E268" s="136">
        <v>81375</v>
      </c>
      <c r="F268" s="141"/>
      <c r="G268" s="141"/>
      <c r="H268" s="148">
        <f t="shared" si="14"/>
        <v>81375</v>
      </c>
    </row>
    <row r="269" spans="1:8" s="43" customFormat="1" ht="21" customHeight="1">
      <c r="A269" s="120"/>
      <c r="B269" s="138"/>
      <c r="C269" s="142">
        <v>4120</v>
      </c>
      <c r="D269" s="68" t="s">
        <v>101</v>
      </c>
      <c r="E269" s="136">
        <v>11081</v>
      </c>
      <c r="F269" s="141"/>
      <c r="G269" s="141"/>
      <c r="H269" s="148">
        <f t="shared" si="14"/>
        <v>11081</v>
      </c>
    </row>
    <row r="270" spans="1:8" s="43" customFormat="1" ht="21" customHeight="1">
      <c r="A270" s="120"/>
      <c r="B270" s="138"/>
      <c r="C270" s="142">
        <v>4170</v>
      </c>
      <c r="D270" s="68" t="s">
        <v>307</v>
      </c>
      <c r="E270" s="136">
        <v>18000</v>
      </c>
      <c r="F270" s="141"/>
      <c r="G270" s="141"/>
      <c r="H270" s="148">
        <f t="shared" si="14"/>
        <v>18000</v>
      </c>
    </row>
    <row r="271" spans="1:8" s="43" customFormat="1" ht="21" customHeight="1">
      <c r="A271" s="120"/>
      <c r="B271" s="138"/>
      <c r="C271" s="142">
        <v>4210</v>
      </c>
      <c r="D271" s="68" t="s">
        <v>106</v>
      </c>
      <c r="E271" s="136">
        <v>7760</v>
      </c>
      <c r="F271" s="141"/>
      <c r="G271" s="141"/>
      <c r="H271" s="148">
        <f t="shared" si="14"/>
        <v>7760</v>
      </c>
    </row>
    <row r="272" spans="1:8" s="43" customFormat="1" ht="21" customHeight="1">
      <c r="A272" s="120"/>
      <c r="B272" s="138"/>
      <c r="C272" s="142">
        <v>4230</v>
      </c>
      <c r="D272" s="68" t="s">
        <v>130</v>
      </c>
      <c r="E272" s="136">
        <v>50</v>
      </c>
      <c r="F272" s="141"/>
      <c r="G272" s="141"/>
      <c r="H272" s="148">
        <f t="shared" si="14"/>
        <v>50</v>
      </c>
    </row>
    <row r="273" spans="1:8" s="43" customFormat="1" ht="21" customHeight="1">
      <c r="A273" s="120"/>
      <c r="B273" s="138"/>
      <c r="C273" s="142">
        <v>4240</v>
      </c>
      <c r="D273" s="68" t="s">
        <v>141</v>
      </c>
      <c r="E273" s="136">
        <v>1000</v>
      </c>
      <c r="F273" s="141"/>
      <c r="G273" s="141"/>
      <c r="H273" s="148">
        <f t="shared" si="14"/>
        <v>1000</v>
      </c>
    </row>
    <row r="274" spans="1:8" s="43" customFormat="1" ht="21" customHeight="1">
      <c r="A274" s="120"/>
      <c r="B274" s="138"/>
      <c r="C274" s="142">
        <v>4300</v>
      </c>
      <c r="D274" s="68" t="s">
        <v>93</v>
      </c>
      <c r="E274" s="136">
        <v>850</v>
      </c>
      <c r="F274" s="141"/>
      <c r="G274" s="141"/>
      <c r="H274" s="148">
        <f t="shared" si="14"/>
        <v>850</v>
      </c>
    </row>
    <row r="275" spans="1:8" s="43" customFormat="1" ht="24">
      <c r="A275" s="120"/>
      <c r="B275" s="138"/>
      <c r="C275" s="142">
        <v>4440</v>
      </c>
      <c r="D275" s="68" t="s">
        <v>102</v>
      </c>
      <c r="E275" s="136">
        <v>28639</v>
      </c>
      <c r="F275" s="141"/>
      <c r="G275" s="141"/>
      <c r="H275" s="148">
        <f t="shared" si="14"/>
        <v>28639</v>
      </c>
    </row>
    <row r="276" spans="1:8" s="43" customFormat="1" ht="36">
      <c r="A276" s="120"/>
      <c r="B276" s="138" t="s">
        <v>144</v>
      </c>
      <c r="C276" s="142"/>
      <c r="D276" s="68" t="s">
        <v>233</v>
      </c>
      <c r="E276" s="136">
        <f>SUM(E277:E278)</f>
        <v>178550</v>
      </c>
      <c r="F276" s="136">
        <f>SUM(F277:F278)</f>
        <v>0</v>
      </c>
      <c r="G276" s="136">
        <f>SUM(G277:G278)</f>
        <v>40000</v>
      </c>
      <c r="H276" s="136">
        <f>SUM(H277:H278)</f>
        <v>138550</v>
      </c>
    </row>
    <row r="277" spans="1:8" s="43" customFormat="1" ht="21" customHeight="1">
      <c r="A277" s="120"/>
      <c r="B277" s="138"/>
      <c r="C277" s="142">
        <v>4210</v>
      </c>
      <c r="D277" s="68" t="s">
        <v>106</v>
      </c>
      <c r="E277" s="136">
        <f>5500+500</f>
        <v>6000</v>
      </c>
      <c r="F277" s="141"/>
      <c r="G277" s="141"/>
      <c r="H277" s="148">
        <f>SUM(E277+F277-G277)</f>
        <v>6000</v>
      </c>
    </row>
    <row r="278" spans="1:8" s="43" customFormat="1" ht="21" customHeight="1">
      <c r="A278" s="142"/>
      <c r="B278" s="143"/>
      <c r="C278" s="142">
        <v>4300</v>
      </c>
      <c r="D278" s="68" t="s">
        <v>93</v>
      </c>
      <c r="E278" s="136">
        <f>99500+13050+45000+15000</f>
        <v>172550</v>
      </c>
      <c r="F278" s="141"/>
      <c r="G278" s="141">
        <v>40000</v>
      </c>
      <c r="H278" s="148">
        <f>SUM(E278+F278-G278)</f>
        <v>132550</v>
      </c>
    </row>
    <row r="279" spans="1:8" s="43" customFormat="1" ht="21.75" customHeight="1">
      <c r="A279" s="142"/>
      <c r="B279" s="143">
        <v>85446</v>
      </c>
      <c r="C279" s="142"/>
      <c r="D279" s="68" t="s">
        <v>196</v>
      </c>
      <c r="E279" s="136">
        <f>SUM(E280:E281)</f>
        <v>3323</v>
      </c>
      <c r="F279" s="136">
        <f>SUM(F280:F281)</f>
        <v>887</v>
      </c>
      <c r="G279" s="136">
        <f>SUM(G280:G281)</f>
        <v>887</v>
      </c>
      <c r="H279" s="136">
        <f>SUM(H280:H281)</f>
        <v>3323</v>
      </c>
    </row>
    <row r="280" spans="1:8" s="43" customFormat="1" ht="21" customHeight="1">
      <c r="A280" s="142"/>
      <c r="B280" s="143"/>
      <c r="C280" s="142">
        <v>4300</v>
      </c>
      <c r="D280" s="68" t="s">
        <v>93</v>
      </c>
      <c r="E280" s="136">
        <v>3323</v>
      </c>
      <c r="F280" s="141"/>
      <c r="G280" s="141">
        <v>887</v>
      </c>
      <c r="H280" s="148">
        <f>SUM(E280+F280-G280)</f>
        <v>2436</v>
      </c>
    </row>
    <row r="281" spans="1:8" s="43" customFormat="1" ht="21" customHeight="1">
      <c r="A281" s="142"/>
      <c r="B281" s="143"/>
      <c r="C281" s="142">
        <v>4410</v>
      </c>
      <c r="D281" s="68" t="s">
        <v>104</v>
      </c>
      <c r="E281" s="136">
        <v>0</v>
      </c>
      <c r="F281" s="141">
        <v>887</v>
      </c>
      <c r="G281" s="141"/>
      <c r="H281" s="148">
        <f>SUM(E281+F281-G281)</f>
        <v>887</v>
      </c>
    </row>
    <row r="282" spans="1:8" s="43" customFormat="1" ht="21.75" customHeight="1">
      <c r="A282" s="142"/>
      <c r="B282" s="143">
        <v>85495</v>
      </c>
      <c r="C282" s="142"/>
      <c r="D282" s="68" t="s">
        <v>6</v>
      </c>
      <c r="E282" s="136">
        <f>SUM(E283:E283)</f>
        <v>228650</v>
      </c>
      <c r="F282" s="136">
        <f>SUM(F283:F283)</f>
        <v>0</v>
      </c>
      <c r="G282" s="136">
        <f>SUM(G283:G283)</f>
        <v>0</v>
      </c>
      <c r="H282" s="136">
        <f>SUM(H283:H283)</f>
        <v>228650</v>
      </c>
    </row>
    <row r="283" spans="1:8" s="43" customFormat="1" ht="48">
      <c r="A283" s="142"/>
      <c r="B283" s="143"/>
      <c r="C283" s="142">
        <v>2320</v>
      </c>
      <c r="D283" s="68" t="s">
        <v>199</v>
      </c>
      <c r="E283" s="136">
        <v>228650</v>
      </c>
      <c r="F283" s="141"/>
      <c r="G283" s="141"/>
      <c r="H283" s="148">
        <f>SUM(E283+F283-G283)</f>
        <v>228650</v>
      </c>
    </row>
    <row r="284" spans="1:8" s="9" customFormat="1" ht="24.75" customHeight="1">
      <c r="A284" s="63" t="s">
        <v>146</v>
      </c>
      <c r="B284" s="64"/>
      <c r="C284" s="65"/>
      <c r="D284" s="66" t="s">
        <v>73</v>
      </c>
      <c r="E284" s="67">
        <f>SUM(E285,E290,E293,E297,E299,E301,E305,)</f>
        <v>10617678</v>
      </c>
      <c r="F284" s="67">
        <f>SUM(F285,F290,F293,F297,F299,F301,F305,)</f>
        <v>712320</v>
      </c>
      <c r="G284" s="67">
        <f>SUM(G285,G290,G293,G297,G299,G301,G305,)</f>
        <v>662080</v>
      </c>
      <c r="H284" s="67">
        <f>SUM(H285,H290,H293,H297,H299,H301,H305,)</f>
        <v>10667918</v>
      </c>
    </row>
    <row r="285" spans="1:8" s="43" customFormat="1" ht="21.75" customHeight="1">
      <c r="A285" s="120"/>
      <c r="B285" s="138" t="s">
        <v>147</v>
      </c>
      <c r="C285" s="142"/>
      <c r="D285" s="68" t="s">
        <v>74</v>
      </c>
      <c r="E285" s="136">
        <f>SUM(E286:E289)</f>
        <v>8834636</v>
      </c>
      <c r="F285" s="136">
        <f>SUM(F286:F289)</f>
        <v>16000</v>
      </c>
      <c r="G285" s="136">
        <f>SUM(G286:G289)</f>
        <v>35000</v>
      </c>
      <c r="H285" s="136">
        <f>SUM(H286:H289)</f>
        <v>8815636</v>
      </c>
    </row>
    <row r="286" spans="1:8" s="43" customFormat="1" ht="21" customHeight="1">
      <c r="A286" s="120"/>
      <c r="B286" s="138"/>
      <c r="C286" s="120">
        <v>4300</v>
      </c>
      <c r="D286" s="68" t="s">
        <v>93</v>
      </c>
      <c r="E286" s="136">
        <v>67000</v>
      </c>
      <c r="F286" s="141">
        <v>16000</v>
      </c>
      <c r="G286" s="141"/>
      <c r="H286" s="148">
        <f aca="true" t="shared" si="15" ref="H286:H309">SUM(E286+F286-G286)</f>
        <v>83000</v>
      </c>
    </row>
    <row r="287" spans="1:8" s="43" customFormat="1" ht="21" customHeight="1">
      <c r="A287" s="120"/>
      <c r="B287" s="138"/>
      <c r="C287" s="120">
        <v>6050</v>
      </c>
      <c r="D287" s="68" t="s">
        <v>87</v>
      </c>
      <c r="E287" s="136">
        <v>100000</v>
      </c>
      <c r="F287" s="141"/>
      <c r="G287" s="141">
        <v>35000</v>
      </c>
      <c r="H287" s="148">
        <f t="shared" si="15"/>
        <v>65000</v>
      </c>
    </row>
    <row r="288" spans="1:8" s="43" customFormat="1" ht="21" customHeight="1">
      <c r="A288" s="120"/>
      <c r="B288" s="138"/>
      <c r="C288" s="120">
        <v>6058</v>
      </c>
      <c r="D288" s="68" t="s">
        <v>87</v>
      </c>
      <c r="E288" s="136">
        <v>5717636</v>
      </c>
      <c r="F288" s="141"/>
      <c r="G288" s="141"/>
      <c r="H288" s="148">
        <f t="shared" si="15"/>
        <v>5717636</v>
      </c>
    </row>
    <row r="289" spans="1:8" s="43" customFormat="1" ht="21" customHeight="1">
      <c r="A289" s="120"/>
      <c r="B289" s="138"/>
      <c r="C289" s="120">
        <v>6059</v>
      </c>
      <c r="D289" s="68" t="s">
        <v>87</v>
      </c>
      <c r="E289" s="136">
        <v>2950000</v>
      </c>
      <c r="F289" s="141"/>
      <c r="G289" s="141"/>
      <c r="H289" s="148">
        <f t="shared" si="15"/>
        <v>2950000</v>
      </c>
    </row>
    <row r="290" spans="1:8" s="43" customFormat="1" ht="21.75" customHeight="1">
      <c r="A290" s="120"/>
      <c r="B290" s="138" t="s">
        <v>148</v>
      </c>
      <c r="C290" s="142"/>
      <c r="D290" s="68" t="s">
        <v>149</v>
      </c>
      <c r="E290" s="136">
        <f>SUM(E291:E292)</f>
        <v>627080</v>
      </c>
      <c r="F290" s="136">
        <f>SUM(F291:F292)</f>
        <v>677320</v>
      </c>
      <c r="G290" s="136">
        <f>SUM(G291:G292)</f>
        <v>627080</v>
      </c>
      <c r="H290" s="136">
        <f>SUM(H291:H292)</f>
        <v>677320</v>
      </c>
    </row>
    <row r="291" spans="1:8" s="43" customFormat="1" ht="21" customHeight="1">
      <c r="A291" s="120"/>
      <c r="B291" s="138"/>
      <c r="C291" s="142">
        <v>4210</v>
      </c>
      <c r="D291" s="68" t="s">
        <v>106</v>
      </c>
      <c r="E291" s="136">
        <v>619080</v>
      </c>
      <c r="F291" s="141">
        <v>8000</v>
      </c>
      <c r="G291" s="141">
        <v>619080</v>
      </c>
      <c r="H291" s="148">
        <f t="shared" si="15"/>
        <v>8000</v>
      </c>
    </row>
    <row r="292" spans="1:8" s="43" customFormat="1" ht="21" customHeight="1">
      <c r="A292" s="120"/>
      <c r="B292" s="138"/>
      <c r="C292" s="142">
        <v>4300</v>
      </c>
      <c r="D292" s="146" t="s">
        <v>93</v>
      </c>
      <c r="E292" s="136">
        <v>8000</v>
      </c>
      <c r="F292" s="141">
        <f>619080+50240</f>
        <v>669320</v>
      </c>
      <c r="G292" s="141">
        <v>8000</v>
      </c>
      <c r="H292" s="148">
        <f t="shared" si="15"/>
        <v>669320</v>
      </c>
    </row>
    <row r="293" spans="1:8" s="43" customFormat="1" ht="21.75" customHeight="1">
      <c r="A293" s="120"/>
      <c r="B293" s="138" t="s">
        <v>150</v>
      </c>
      <c r="C293" s="142"/>
      <c r="D293" s="68" t="s">
        <v>201</v>
      </c>
      <c r="E293" s="136">
        <f>SUM(E294:E296)</f>
        <v>175492</v>
      </c>
      <c r="F293" s="136">
        <f>SUM(F294:F296)</f>
        <v>0</v>
      </c>
      <c r="G293" s="136">
        <f>SUM(G294:G296)</f>
        <v>0</v>
      </c>
      <c r="H293" s="136">
        <f>SUM(H294:H296)</f>
        <v>175492</v>
      </c>
    </row>
    <row r="294" spans="1:8" s="43" customFormat="1" ht="21" customHeight="1">
      <c r="A294" s="120"/>
      <c r="B294" s="138"/>
      <c r="C294" s="120">
        <v>4210</v>
      </c>
      <c r="D294" s="68" t="s">
        <v>106</v>
      </c>
      <c r="E294" s="136">
        <f>25850+26000</f>
        <v>51850</v>
      </c>
      <c r="F294" s="141"/>
      <c r="G294" s="141"/>
      <c r="H294" s="148">
        <f t="shared" si="15"/>
        <v>51850</v>
      </c>
    </row>
    <row r="295" spans="1:8" s="43" customFormat="1" ht="21" customHeight="1">
      <c r="A295" s="120"/>
      <c r="B295" s="138"/>
      <c r="C295" s="120">
        <v>4270</v>
      </c>
      <c r="D295" s="68" t="s">
        <v>92</v>
      </c>
      <c r="E295" s="136">
        <v>4000</v>
      </c>
      <c r="F295" s="141"/>
      <c r="G295" s="141"/>
      <c r="H295" s="148">
        <f t="shared" si="15"/>
        <v>4000</v>
      </c>
    </row>
    <row r="296" spans="1:8" s="43" customFormat="1" ht="21" customHeight="1">
      <c r="A296" s="120"/>
      <c r="B296" s="138"/>
      <c r="C296" s="120">
        <v>4300</v>
      </c>
      <c r="D296" s="68" t="s">
        <v>93</v>
      </c>
      <c r="E296" s="136">
        <f>82942+20000+4700+12000</f>
        <v>119642</v>
      </c>
      <c r="F296" s="141"/>
      <c r="G296" s="141"/>
      <c r="H296" s="148">
        <f t="shared" si="15"/>
        <v>119642</v>
      </c>
    </row>
    <row r="297" spans="1:8" s="43" customFormat="1" ht="21.75" customHeight="1">
      <c r="A297" s="120"/>
      <c r="B297" s="138" t="s">
        <v>151</v>
      </c>
      <c r="C297" s="142"/>
      <c r="D297" s="68" t="s">
        <v>152</v>
      </c>
      <c r="E297" s="136">
        <f>SUM(E298:E298)</f>
        <v>16000</v>
      </c>
      <c r="F297" s="136">
        <f>SUM(F298:F298)</f>
        <v>0</v>
      </c>
      <c r="G297" s="136">
        <f>SUM(G298:G298)</f>
        <v>0</v>
      </c>
      <c r="H297" s="136">
        <f>SUM(H298:H298)</f>
        <v>16000</v>
      </c>
    </row>
    <row r="298" spans="1:8" s="43" customFormat="1" ht="24">
      <c r="A298" s="120"/>
      <c r="B298" s="138"/>
      <c r="C298" s="142">
        <v>4520</v>
      </c>
      <c r="D298" s="68" t="s">
        <v>153</v>
      </c>
      <c r="E298" s="136">
        <v>16000</v>
      </c>
      <c r="F298" s="141"/>
      <c r="G298" s="141"/>
      <c r="H298" s="148">
        <f t="shared" si="15"/>
        <v>16000</v>
      </c>
    </row>
    <row r="299" spans="1:8" s="43" customFormat="1" ht="21" customHeight="1">
      <c r="A299" s="120"/>
      <c r="B299" s="138" t="s">
        <v>154</v>
      </c>
      <c r="C299" s="142"/>
      <c r="D299" s="68" t="s">
        <v>155</v>
      </c>
      <c r="E299" s="136">
        <f>SUM(E300)</f>
        <v>78000</v>
      </c>
      <c r="F299" s="136">
        <f>SUM(F300)</f>
        <v>0</v>
      </c>
      <c r="G299" s="136">
        <f>SUM(G300)</f>
        <v>0</v>
      </c>
      <c r="H299" s="136">
        <f>SUM(H300)</f>
        <v>78000</v>
      </c>
    </row>
    <row r="300" spans="1:8" s="43" customFormat="1" ht="21" customHeight="1">
      <c r="A300" s="120"/>
      <c r="B300" s="138"/>
      <c r="C300" s="142">
        <v>4300</v>
      </c>
      <c r="D300" s="146" t="s">
        <v>93</v>
      </c>
      <c r="E300" s="136">
        <v>78000</v>
      </c>
      <c r="F300" s="141"/>
      <c r="G300" s="141"/>
      <c r="H300" s="148">
        <f t="shared" si="15"/>
        <v>78000</v>
      </c>
    </row>
    <row r="301" spans="1:8" s="43" customFormat="1" ht="21" customHeight="1">
      <c r="A301" s="120"/>
      <c r="B301" s="138" t="s">
        <v>156</v>
      </c>
      <c r="C301" s="142"/>
      <c r="D301" s="68" t="s">
        <v>157</v>
      </c>
      <c r="E301" s="136">
        <f>SUM(E302:E304)</f>
        <v>807000</v>
      </c>
      <c r="F301" s="136">
        <f>SUM(F302:F304)</f>
        <v>19000</v>
      </c>
      <c r="G301" s="136">
        <f>SUM(G302:G304)</f>
        <v>0</v>
      </c>
      <c r="H301" s="136">
        <f>SUM(H302:H304)</f>
        <v>826000</v>
      </c>
    </row>
    <row r="302" spans="1:8" s="43" customFormat="1" ht="21" customHeight="1">
      <c r="A302" s="120"/>
      <c r="B302" s="143"/>
      <c r="C302" s="120">
        <v>4260</v>
      </c>
      <c r="D302" s="68" t="s">
        <v>109</v>
      </c>
      <c r="E302" s="136">
        <v>412000</v>
      </c>
      <c r="F302" s="141"/>
      <c r="G302" s="141"/>
      <c r="H302" s="148">
        <f t="shared" si="15"/>
        <v>412000</v>
      </c>
    </row>
    <row r="303" spans="1:8" s="43" customFormat="1" ht="21" customHeight="1">
      <c r="A303" s="120"/>
      <c r="B303" s="143"/>
      <c r="C303" s="120">
        <v>4270</v>
      </c>
      <c r="D303" s="68" t="s">
        <v>92</v>
      </c>
      <c r="E303" s="136">
        <v>125000</v>
      </c>
      <c r="F303" s="141">
        <v>2000</v>
      </c>
      <c r="G303" s="141"/>
      <c r="H303" s="148">
        <f t="shared" si="15"/>
        <v>127000</v>
      </c>
    </row>
    <row r="304" spans="1:8" s="43" customFormat="1" ht="21" customHeight="1">
      <c r="A304" s="120"/>
      <c r="B304" s="143"/>
      <c r="C304" s="120">
        <v>6050</v>
      </c>
      <c r="D304" s="68" t="s">
        <v>87</v>
      </c>
      <c r="E304" s="136">
        <f>110000+80000+80000</f>
        <v>270000</v>
      </c>
      <c r="F304" s="198">
        <f>14000+3000</f>
        <v>17000</v>
      </c>
      <c r="G304" s="198"/>
      <c r="H304" s="148">
        <f t="shared" si="15"/>
        <v>287000</v>
      </c>
    </row>
    <row r="305" spans="1:8" s="43" customFormat="1" ht="21" customHeight="1">
      <c r="A305" s="120"/>
      <c r="B305" s="138" t="s">
        <v>158</v>
      </c>
      <c r="C305" s="142"/>
      <c r="D305" s="68" t="s">
        <v>6</v>
      </c>
      <c r="E305" s="136">
        <f>SUM(E306:E309)</f>
        <v>79470</v>
      </c>
      <c r="F305" s="136">
        <f>SUM(F306:F309)</f>
        <v>0</v>
      </c>
      <c r="G305" s="136">
        <f>SUM(G306:G309)</f>
        <v>0</v>
      </c>
      <c r="H305" s="136">
        <f>SUM(H306:H309)</f>
        <v>79470</v>
      </c>
    </row>
    <row r="306" spans="1:8" s="43" customFormat="1" ht="21" customHeight="1">
      <c r="A306" s="120"/>
      <c r="B306" s="143"/>
      <c r="C306" s="142">
        <v>4210</v>
      </c>
      <c r="D306" s="68" t="s">
        <v>106</v>
      </c>
      <c r="E306" s="136">
        <v>6970</v>
      </c>
      <c r="F306" s="141"/>
      <c r="G306" s="141"/>
      <c r="H306" s="148">
        <f t="shared" si="15"/>
        <v>6970</v>
      </c>
    </row>
    <row r="307" spans="1:8" s="43" customFormat="1" ht="21" customHeight="1">
      <c r="A307" s="120"/>
      <c r="B307" s="143"/>
      <c r="C307" s="120">
        <v>4260</v>
      </c>
      <c r="D307" s="68" t="s">
        <v>109</v>
      </c>
      <c r="E307" s="136">
        <v>3500</v>
      </c>
      <c r="F307" s="141"/>
      <c r="G307" s="141"/>
      <c r="H307" s="148">
        <f t="shared" si="15"/>
        <v>3500</v>
      </c>
    </row>
    <row r="308" spans="1:8" s="43" customFormat="1" ht="21" customHeight="1">
      <c r="A308" s="120"/>
      <c r="B308" s="143"/>
      <c r="C308" s="120">
        <v>4270</v>
      </c>
      <c r="D308" s="68" t="s">
        <v>92</v>
      </c>
      <c r="E308" s="136">
        <v>5000</v>
      </c>
      <c r="F308" s="141"/>
      <c r="G308" s="141"/>
      <c r="H308" s="148">
        <f t="shared" si="15"/>
        <v>5000</v>
      </c>
    </row>
    <row r="309" spans="1:8" s="43" customFormat="1" ht="21" customHeight="1">
      <c r="A309" s="120"/>
      <c r="B309" s="143"/>
      <c r="C309" s="142">
        <v>4300</v>
      </c>
      <c r="D309" s="146" t="s">
        <v>93</v>
      </c>
      <c r="E309" s="136">
        <f>62000+1000+1000</f>
        <v>64000</v>
      </c>
      <c r="F309" s="141"/>
      <c r="G309" s="141"/>
      <c r="H309" s="148">
        <f t="shared" si="15"/>
        <v>64000</v>
      </c>
    </row>
    <row r="310" spans="1:8" s="8" customFormat="1" ht="24.75" customHeight="1">
      <c r="A310" s="63" t="s">
        <v>76</v>
      </c>
      <c r="B310" s="64"/>
      <c r="C310" s="65"/>
      <c r="D310" s="66" t="s">
        <v>159</v>
      </c>
      <c r="E310" s="67">
        <f>SUM(E311,E317,E319,)</f>
        <v>1637180</v>
      </c>
      <c r="F310" s="67">
        <f>SUM(F311,F317,F319,)</f>
        <v>0</v>
      </c>
      <c r="G310" s="67">
        <f>SUM(G311,G317,G319,)</f>
        <v>0</v>
      </c>
      <c r="H310" s="67">
        <f>SUM(H311,H317,H319,)</f>
        <v>1637180</v>
      </c>
    </row>
    <row r="311" spans="1:8" s="43" customFormat="1" ht="21.75" customHeight="1">
      <c r="A311" s="120"/>
      <c r="B311" s="138" t="s">
        <v>160</v>
      </c>
      <c r="C311" s="142"/>
      <c r="D311" s="68" t="s">
        <v>200</v>
      </c>
      <c r="E311" s="136">
        <f>SUM(E312:E316)</f>
        <v>430780</v>
      </c>
      <c r="F311" s="136">
        <f>SUM(F312:F316)</f>
        <v>0</v>
      </c>
      <c r="G311" s="136">
        <f>SUM(G312:G316)</f>
        <v>0</v>
      </c>
      <c r="H311" s="136">
        <f>SUM(H312:H316)</f>
        <v>430780</v>
      </c>
    </row>
    <row r="312" spans="1:8" s="43" customFormat="1" ht="21.75" customHeight="1">
      <c r="A312" s="120"/>
      <c r="B312" s="138"/>
      <c r="C312" s="142">
        <v>2480</v>
      </c>
      <c r="D312" s="68" t="s">
        <v>285</v>
      </c>
      <c r="E312" s="136">
        <v>387940</v>
      </c>
      <c r="F312" s="141"/>
      <c r="G312" s="141"/>
      <c r="H312" s="148">
        <f>SUM(E312+F312-G312)</f>
        <v>387940</v>
      </c>
    </row>
    <row r="313" spans="1:8" s="43" customFormat="1" ht="21" customHeight="1">
      <c r="A313" s="120"/>
      <c r="B313" s="138"/>
      <c r="C313" s="120">
        <v>4210</v>
      </c>
      <c r="D313" s="68" t="s">
        <v>106</v>
      </c>
      <c r="E313" s="136">
        <v>19400</v>
      </c>
      <c r="F313" s="141"/>
      <c r="G313" s="141"/>
      <c r="H313" s="148">
        <f>SUM(E313+F313-G313)</f>
        <v>19400</v>
      </c>
    </row>
    <row r="314" spans="1:8" s="43" customFormat="1" ht="21" customHeight="1">
      <c r="A314" s="120"/>
      <c r="B314" s="138"/>
      <c r="C314" s="120">
        <v>4260</v>
      </c>
      <c r="D314" s="68" t="s">
        <v>109</v>
      </c>
      <c r="E314" s="136">
        <v>11630</v>
      </c>
      <c r="F314" s="141"/>
      <c r="G314" s="141"/>
      <c r="H314" s="148">
        <f>SUM(E314+F314-G314)</f>
        <v>11630</v>
      </c>
    </row>
    <row r="315" spans="1:8" s="43" customFormat="1" ht="21" customHeight="1">
      <c r="A315" s="120"/>
      <c r="B315" s="138"/>
      <c r="C315" s="142">
        <v>4300</v>
      </c>
      <c r="D315" s="146" t="s">
        <v>93</v>
      </c>
      <c r="E315" s="136">
        <v>10825</v>
      </c>
      <c r="F315" s="141"/>
      <c r="G315" s="141"/>
      <c r="H315" s="148">
        <f>SUM(E315+F315-G315)</f>
        <v>10825</v>
      </c>
    </row>
    <row r="316" spans="1:8" s="43" customFormat="1" ht="21" customHeight="1">
      <c r="A316" s="120"/>
      <c r="B316" s="138"/>
      <c r="C316" s="142">
        <v>4430</v>
      </c>
      <c r="D316" s="146" t="s">
        <v>108</v>
      </c>
      <c r="E316" s="136">
        <v>985</v>
      </c>
      <c r="F316" s="141"/>
      <c r="G316" s="141"/>
      <c r="H316" s="148">
        <f>SUM(E316+F316-G316)</f>
        <v>985</v>
      </c>
    </row>
    <row r="317" spans="1:8" s="43" customFormat="1" ht="21.75" customHeight="1">
      <c r="A317" s="120"/>
      <c r="B317" s="138" t="s">
        <v>77</v>
      </c>
      <c r="C317" s="142"/>
      <c r="D317" s="68" t="s">
        <v>78</v>
      </c>
      <c r="E317" s="136">
        <f>E318</f>
        <v>855480</v>
      </c>
      <c r="F317" s="136">
        <f>SUM(F318)</f>
        <v>0</v>
      </c>
      <c r="G317" s="136">
        <f>SUM(G318)</f>
        <v>0</v>
      </c>
      <c r="H317" s="136">
        <f>SUM(H318)</f>
        <v>855480</v>
      </c>
    </row>
    <row r="318" spans="1:8" s="43" customFormat="1" ht="24">
      <c r="A318" s="120"/>
      <c r="B318" s="138"/>
      <c r="C318" s="142">
        <v>2480</v>
      </c>
      <c r="D318" s="68" t="s">
        <v>285</v>
      </c>
      <c r="E318" s="136">
        <v>855480</v>
      </c>
      <c r="F318" s="141"/>
      <c r="G318" s="141"/>
      <c r="H318" s="148">
        <f>SUM(E318+F318-G318)</f>
        <v>855480</v>
      </c>
    </row>
    <row r="319" spans="1:8" s="43" customFormat="1" ht="18.75" customHeight="1">
      <c r="A319" s="120"/>
      <c r="B319" s="138" t="s">
        <v>162</v>
      </c>
      <c r="C319" s="142"/>
      <c r="D319" s="68" t="s">
        <v>163</v>
      </c>
      <c r="E319" s="136">
        <f>E320</f>
        <v>350920</v>
      </c>
      <c r="F319" s="136">
        <f>SUM(F320)</f>
        <v>0</v>
      </c>
      <c r="G319" s="136">
        <f>SUM(G320)</f>
        <v>0</v>
      </c>
      <c r="H319" s="136">
        <f>SUM(H320)</f>
        <v>350920</v>
      </c>
    </row>
    <row r="320" spans="1:8" s="43" customFormat="1" ht="25.5" customHeight="1">
      <c r="A320" s="120"/>
      <c r="B320" s="138"/>
      <c r="C320" s="142">
        <v>2480</v>
      </c>
      <c r="D320" s="68" t="s">
        <v>285</v>
      </c>
      <c r="E320" s="136">
        <v>350920</v>
      </c>
      <c r="F320" s="141"/>
      <c r="G320" s="141"/>
      <c r="H320" s="148">
        <f>SUM(E320+F320-G320)</f>
        <v>350920</v>
      </c>
    </row>
    <row r="321" spans="1:8" s="8" customFormat="1" ht="24.75" customHeight="1">
      <c r="A321" s="63" t="s">
        <v>164</v>
      </c>
      <c r="B321" s="64"/>
      <c r="C321" s="65"/>
      <c r="D321" s="66" t="s">
        <v>79</v>
      </c>
      <c r="E321" s="67">
        <f>SUM(E324,E322)</f>
        <v>397640</v>
      </c>
      <c r="F321" s="67">
        <f>SUM(F324,F322)</f>
        <v>142000</v>
      </c>
      <c r="G321" s="67">
        <f>SUM(G324,G322)</f>
        <v>142000</v>
      </c>
      <c r="H321" s="67">
        <f>SUM(H324,H322)</f>
        <v>397640</v>
      </c>
    </row>
    <row r="322" spans="1:8" s="43" customFormat="1" ht="21.75" customHeight="1">
      <c r="A322" s="120"/>
      <c r="B322" s="143">
        <v>92604</v>
      </c>
      <c r="C322" s="142"/>
      <c r="D322" s="68" t="s">
        <v>306</v>
      </c>
      <c r="E322" s="136">
        <f>SUM(E323)</f>
        <v>156250</v>
      </c>
      <c r="F322" s="136">
        <f>SUM(F323)</f>
        <v>0</v>
      </c>
      <c r="G322" s="136">
        <f>SUM(G323)</f>
        <v>0</v>
      </c>
      <c r="H322" s="136">
        <f>SUM(H323)</f>
        <v>156250</v>
      </c>
    </row>
    <row r="323" spans="1:8" s="43" customFormat="1" ht="21" customHeight="1">
      <c r="A323" s="120"/>
      <c r="B323" s="143"/>
      <c r="C323" s="142">
        <v>4300</v>
      </c>
      <c r="D323" s="146" t="s">
        <v>93</v>
      </c>
      <c r="E323" s="136">
        <f>41250+100000+15000</f>
        <v>156250</v>
      </c>
      <c r="F323" s="136"/>
      <c r="G323" s="136"/>
      <c r="H323" s="148">
        <f>SUM(E323+F323-G323)</f>
        <v>156250</v>
      </c>
    </row>
    <row r="324" spans="1:8" s="43" customFormat="1" ht="21.75" customHeight="1">
      <c r="A324" s="142"/>
      <c r="B324" s="145">
        <v>92605</v>
      </c>
      <c r="C324" s="142"/>
      <c r="D324" s="68" t="s">
        <v>80</v>
      </c>
      <c r="E324" s="136">
        <f>SUM(E325:E329)</f>
        <v>241390</v>
      </c>
      <c r="F324" s="136">
        <f>SUM(F325:F329)</f>
        <v>142000</v>
      </c>
      <c r="G324" s="136">
        <f>SUM(G325:G329)</f>
        <v>142000</v>
      </c>
      <c r="H324" s="136">
        <f>SUM(H325:H329)</f>
        <v>241390</v>
      </c>
    </row>
    <row r="325" spans="1:8" s="43" customFormat="1" ht="36">
      <c r="A325" s="142"/>
      <c r="B325" s="145"/>
      <c r="C325" s="142">
        <v>2630</v>
      </c>
      <c r="D325" s="23" t="s">
        <v>450</v>
      </c>
      <c r="E325" s="136">
        <v>0</v>
      </c>
      <c r="F325" s="136">
        <v>142000</v>
      </c>
      <c r="G325" s="136"/>
      <c r="H325" s="148">
        <f>SUM(E325+F325-G325)</f>
        <v>142000</v>
      </c>
    </row>
    <row r="326" spans="1:8" s="43" customFormat="1" ht="21" customHeight="1">
      <c r="A326" s="142"/>
      <c r="B326" s="145"/>
      <c r="C326" s="142">
        <v>4170</v>
      </c>
      <c r="D326" s="68" t="s">
        <v>300</v>
      </c>
      <c r="E326" s="136">
        <v>20000</v>
      </c>
      <c r="F326" s="141"/>
      <c r="G326" s="141"/>
      <c r="H326" s="148">
        <f>SUM(E326+F326-G326)</f>
        <v>20000</v>
      </c>
    </row>
    <row r="327" spans="1:8" s="43" customFormat="1" ht="21" customHeight="1">
      <c r="A327" s="142"/>
      <c r="B327" s="138"/>
      <c r="C327" s="120">
        <v>4210</v>
      </c>
      <c r="D327" s="68" t="s">
        <v>106</v>
      </c>
      <c r="E327" s="136">
        <v>17890</v>
      </c>
      <c r="F327" s="141"/>
      <c r="G327" s="141"/>
      <c r="H327" s="148">
        <f>SUM(E327+F327-G327)</f>
        <v>17890</v>
      </c>
    </row>
    <row r="328" spans="1:8" s="43" customFormat="1" ht="21" customHeight="1">
      <c r="A328" s="142"/>
      <c r="B328" s="138"/>
      <c r="C328" s="120">
        <v>4260</v>
      </c>
      <c r="D328" s="68" t="s">
        <v>109</v>
      </c>
      <c r="E328" s="136">
        <v>500</v>
      </c>
      <c r="F328" s="141"/>
      <c r="G328" s="141"/>
      <c r="H328" s="148">
        <f>SUM(E328+F328-G328)</f>
        <v>500</v>
      </c>
    </row>
    <row r="329" spans="1:8" s="43" customFormat="1" ht="21" customHeight="1">
      <c r="A329" s="142"/>
      <c r="B329" s="138"/>
      <c r="C329" s="142">
        <v>4300</v>
      </c>
      <c r="D329" s="146" t="s">
        <v>93</v>
      </c>
      <c r="E329" s="136">
        <f>200000+3000</f>
        <v>203000</v>
      </c>
      <c r="F329" s="141"/>
      <c r="G329" s="141">
        <v>142000</v>
      </c>
      <c r="H329" s="148">
        <f>SUM(E329+F329-G329)</f>
        <v>61000</v>
      </c>
    </row>
    <row r="330" spans="1:8" s="9" customFormat="1" ht="24.75" customHeight="1">
      <c r="A330" s="14"/>
      <c r="B330" s="14"/>
      <c r="C330" s="14"/>
      <c r="D330" s="65" t="s">
        <v>81</v>
      </c>
      <c r="E330" s="67">
        <f>SUM(E321,E310,E284,E263,E204,E192,E131,E128,E124,E116,E85,E81,E39,E32,E19,E12,E9,)</f>
        <v>47469873</v>
      </c>
      <c r="F330" s="67">
        <f>SUM(F321,F310,F284,F263,F204,F192,F131,F128,F124,F116,F85,F81,F39,F32,F19,F12,F9,)</f>
        <v>6821828</v>
      </c>
      <c r="G330" s="67">
        <f>SUM(G321,G310,G284,G263,G204,G192,G131,G128,G124,G116,G85,G81,G39,G32,G19,G12,G9,)</f>
        <v>6528688</v>
      </c>
      <c r="H330" s="67">
        <f>SUM(H321,H310,H284,H263,H204,H192,H131,H128,H124,H116,H85,H81,H39,H32,H19,H12,H9,)</f>
        <v>47763013</v>
      </c>
    </row>
    <row r="331" spans="1:7" ht="12.75">
      <c r="A331" s="106"/>
      <c r="B331" s="106"/>
      <c r="C331" s="106"/>
      <c r="D331" s="106"/>
      <c r="E331" s="244"/>
      <c r="F331" s="192"/>
      <c r="G331" s="193"/>
    </row>
    <row r="332" spans="4:6" ht="12.75">
      <c r="D332" s="106"/>
      <c r="E332" s="244"/>
      <c r="F332" s="192"/>
    </row>
    <row r="333" spans="4:6" ht="12.75">
      <c r="D333" s="106"/>
      <c r="E333" s="244"/>
      <c r="F333" s="192"/>
    </row>
    <row r="334" spans="4:8" ht="12">
      <c r="D334" s="106"/>
      <c r="E334" s="244"/>
      <c r="F334" s="192"/>
      <c r="G334" s="371">
        <f>SUM(F330-G330)</f>
        <v>293140</v>
      </c>
      <c r="H334" s="249"/>
    </row>
    <row r="335" spans="1:8" s="39" customFormat="1" ht="12.75">
      <c r="A335" s="41"/>
      <c r="B335" s="41"/>
      <c r="C335" s="41"/>
      <c r="D335" s="217"/>
      <c r="E335" s="181"/>
      <c r="F335" s="181"/>
      <c r="G335" s="371"/>
      <c r="H335" s="275"/>
    </row>
    <row r="336" spans="1:8" s="39" customFormat="1" ht="12.75">
      <c r="A336" s="41"/>
      <c r="B336" s="41"/>
      <c r="C336" s="41"/>
      <c r="D336" s="217"/>
      <c r="E336" s="181"/>
      <c r="F336" s="181"/>
      <c r="G336" s="372"/>
      <c r="H336" s="275">
        <f>SUM(E330+G334)</f>
        <v>47763013</v>
      </c>
    </row>
    <row r="337" spans="1:8" s="39" customFormat="1" ht="12.75">
      <c r="A337" s="41"/>
      <c r="B337" s="41"/>
      <c r="C337" s="41"/>
      <c r="D337" s="41"/>
      <c r="E337" s="40"/>
      <c r="F337" s="181"/>
      <c r="G337" s="184"/>
      <c r="H337" s="187"/>
    </row>
    <row r="338" spans="1:8" s="39" customFormat="1" ht="12.75">
      <c r="A338" s="41"/>
      <c r="B338" s="41"/>
      <c r="C338" s="41"/>
      <c r="D338" s="41"/>
      <c r="E338" s="40"/>
      <c r="F338" s="181"/>
      <c r="G338" s="184"/>
      <c r="H338" s="187"/>
    </row>
    <row r="339" spans="1:8" s="39" customFormat="1" ht="12.75">
      <c r="A339" s="41"/>
      <c r="B339" s="41"/>
      <c r="C339" s="41"/>
      <c r="D339" s="41"/>
      <c r="E339" s="40"/>
      <c r="F339" s="181"/>
      <c r="G339" s="184"/>
      <c r="H339" s="187"/>
    </row>
    <row r="340" spans="1:8" s="39" customFormat="1" ht="12.75">
      <c r="A340" s="41"/>
      <c r="B340" s="41"/>
      <c r="C340" s="41"/>
      <c r="D340" s="41"/>
      <c r="E340" s="40"/>
      <c r="F340" s="181"/>
      <c r="G340" s="184"/>
      <c r="H340" s="187"/>
    </row>
    <row r="341" spans="1:8" s="39" customFormat="1" ht="12.75">
      <c r="A341" s="41"/>
      <c r="B341" s="41"/>
      <c r="C341" s="41"/>
      <c r="D341" s="41"/>
      <c r="E341" s="40"/>
      <c r="F341" s="181"/>
      <c r="G341" s="184"/>
      <c r="H341" s="187"/>
    </row>
    <row r="342" spans="1:8" s="39" customFormat="1" ht="12.75">
      <c r="A342" s="41"/>
      <c r="B342" s="41"/>
      <c r="C342" s="41"/>
      <c r="D342" s="41"/>
      <c r="E342" s="40"/>
      <c r="F342" s="181"/>
      <c r="G342" s="184"/>
      <c r="H342" s="187"/>
    </row>
    <row r="343" spans="1:8" s="39" customFormat="1" ht="12.75">
      <c r="A343" s="41"/>
      <c r="B343" s="41"/>
      <c r="C343" s="41"/>
      <c r="D343" s="41"/>
      <c r="E343" s="40"/>
      <c r="F343" s="181"/>
      <c r="G343" s="184"/>
      <c r="H343" s="187"/>
    </row>
    <row r="344" spans="1:8" s="39" customFormat="1" ht="12.75">
      <c r="A344" s="41"/>
      <c r="B344" s="41"/>
      <c r="C344" s="41"/>
      <c r="D344" s="41"/>
      <c r="E344" s="40"/>
      <c r="F344" s="181"/>
      <c r="G344" s="184"/>
      <c r="H344" s="187"/>
    </row>
    <row r="345" spans="1:8" s="39" customFormat="1" ht="12.75">
      <c r="A345" s="41"/>
      <c r="B345" s="41"/>
      <c r="C345" s="41"/>
      <c r="D345" s="41"/>
      <c r="E345" s="40"/>
      <c r="F345" s="181"/>
      <c r="G345" s="184"/>
      <c r="H345" s="187"/>
    </row>
    <row r="346" spans="1:8" s="39" customFormat="1" ht="12.75">
      <c r="A346" s="41"/>
      <c r="B346" s="41"/>
      <c r="C346" s="41"/>
      <c r="D346" s="41"/>
      <c r="E346" s="40"/>
      <c r="F346" s="181"/>
      <c r="G346" s="184"/>
      <c r="H346" s="187"/>
    </row>
    <row r="347" spans="1:8" s="39" customFormat="1" ht="12.75">
      <c r="A347" s="41"/>
      <c r="B347" s="41"/>
      <c r="C347" s="41"/>
      <c r="D347" s="41"/>
      <c r="E347" s="40"/>
      <c r="F347" s="181"/>
      <c r="G347" s="184"/>
      <c r="H347" s="187"/>
    </row>
    <row r="348" spans="1:8" s="39" customFormat="1" ht="12.75">
      <c r="A348" s="41"/>
      <c r="B348" s="41"/>
      <c r="C348" s="41"/>
      <c r="D348" s="41"/>
      <c r="E348" s="40"/>
      <c r="F348" s="181"/>
      <c r="G348" s="184"/>
      <c r="H348" s="187"/>
    </row>
    <row r="349" spans="1:8" s="39" customFormat="1" ht="12.75">
      <c r="A349" s="41"/>
      <c r="B349" s="41"/>
      <c r="C349" s="41"/>
      <c r="D349" s="41"/>
      <c r="E349" s="40"/>
      <c r="F349" s="181"/>
      <c r="G349" s="184"/>
      <c r="H349" s="187"/>
    </row>
    <row r="350" spans="1:8" s="39" customFormat="1" ht="12.75">
      <c r="A350" s="41"/>
      <c r="B350" s="41"/>
      <c r="C350" s="41"/>
      <c r="D350" s="41"/>
      <c r="E350" s="40"/>
      <c r="F350" s="181"/>
      <c r="G350" s="184"/>
      <c r="H350" s="187"/>
    </row>
    <row r="351" spans="1:8" s="39" customFormat="1" ht="12.75">
      <c r="A351" s="41"/>
      <c r="B351" s="41"/>
      <c r="C351" s="41"/>
      <c r="D351" s="41"/>
      <c r="E351" s="40"/>
      <c r="F351" s="181"/>
      <c r="G351" s="184"/>
      <c r="H351" s="187"/>
    </row>
    <row r="352" spans="1:8" s="39" customFormat="1" ht="12.75">
      <c r="A352" s="41"/>
      <c r="B352" s="41"/>
      <c r="C352" s="41"/>
      <c r="D352" s="41"/>
      <c r="E352" s="40"/>
      <c r="F352" s="181"/>
      <c r="G352" s="184"/>
      <c r="H352" s="187"/>
    </row>
    <row r="353" spans="1:8" s="39" customFormat="1" ht="12.75">
      <c r="A353" s="41"/>
      <c r="B353" s="41"/>
      <c r="C353" s="41"/>
      <c r="D353" s="41"/>
      <c r="E353" s="40"/>
      <c r="F353" s="181"/>
      <c r="G353" s="184"/>
      <c r="H353" s="187"/>
    </row>
    <row r="354" spans="1:8" s="39" customFormat="1" ht="12.75">
      <c r="A354" s="41"/>
      <c r="B354" s="41"/>
      <c r="C354" s="41"/>
      <c r="D354" s="41"/>
      <c r="E354" s="40"/>
      <c r="F354" s="181"/>
      <c r="G354" s="184"/>
      <c r="H354" s="187"/>
    </row>
    <row r="355" spans="1:8" s="39" customFormat="1" ht="12.75">
      <c r="A355" s="41"/>
      <c r="B355" s="41"/>
      <c r="C355" s="41"/>
      <c r="D355" s="41"/>
      <c r="E355" s="40"/>
      <c r="F355" s="181"/>
      <c r="G355" s="184"/>
      <c r="H355" s="187"/>
    </row>
    <row r="356" spans="1:8" s="39" customFormat="1" ht="12.75">
      <c r="A356" s="41"/>
      <c r="B356" s="41"/>
      <c r="C356" s="41"/>
      <c r="D356" s="41"/>
      <c r="E356" s="40"/>
      <c r="F356" s="181"/>
      <c r="G356" s="184"/>
      <c r="H356" s="187"/>
    </row>
    <row r="357" spans="1:8" s="39" customFormat="1" ht="12.75">
      <c r="A357" s="41"/>
      <c r="B357" s="41"/>
      <c r="C357" s="41"/>
      <c r="D357" s="41"/>
      <c r="E357" s="40"/>
      <c r="F357" s="181"/>
      <c r="G357" s="184"/>
      <c r="H357" s="187"/>
    </row>
    <row r="358" spans="1:8" s="39" customFormat="1" ht="12.75">
      <c r="A358" s="41"/>
      <c r="B358" s="41"/>
      <c r="C358" s="41"/>
      <c r="D358" s="41"/>
      <c r="E358" s="40"/>
      <c r="F358" s="181"/>
      <c r="G358" s="184"/>
      <c r="H358" s="187"/>
    </row>
    <row r="359" spans="1:8" s="39" customFormat="1" ht="12.75">
      <c r="A359" s="41"/>
      <c r="B359" s="41"/>
      <c r="C359" s="41"/>
      <c r="D359" s="41"/>
      <c r="E359" s="40"/>
      <c r="F359" s="181"/>
      <c r="G359" s="184"/>
      <c r="H359" s="187"/>
    </row>
    <row r="360" spans="1:8" s="39" customFormat="1" ht="12.75">
      <c r="A360" s="41"/>
      <c r="B360" s="41"/>
      <c r="C360" s="41"/>
      <c r="D360" s="41"/>
      <c r="E360" s="40"/>
      <c r="F360" s="181"/>
      <c r="G360" s="184"/>
      <c r="H360" s="187"/>
    </row>
    <row r="361" spans="1:8" s="39" customFormat="1" ht="12.75">
      <c r="A361" s="41"/>
      <c r="B361" s="41"/>
      <c r="C361" s="41"/>
      <c r="D361" s="41"/>
      <c r="E361" s="40"/>
      <c r="F361" s="181"/>
      <c r="G361" s="184"/>
      <c r="H361" s="187"/>
    </row>
    <row r="362" spans="1:8" s="39" customFormat="1" ht="12.75">
      <c r="A362" s="41"/>
      <c r="B362" s="41"/>
      <c r="C362" s="41"/>
      <c r="D362" s="41"/>
      <c r="E362" s="40"/>
      <c r="F362" s="181"/>
      <c r="G362" s="184"/>
      <c r="H362" s="187"/>
    </row>
    <row r="363" spans="1:8" s="39" customFormat="1" ht="12.75">
      <c r="A363" s="41"/>
      <c r="B363" s="41"/>
      <c r="C363" s="41"/>
      <c r="D363" s="41"/>
      <c r="E363" s="40"/>
      <c r="F363" s="181"/>
      <c r="G363" s="184"/>
      <c r="H363" s="187"/>
    </row>
    <row r="364" spans="1:8" s="39" customFormat="1" ht="12.75">
      <c r="A364" s="41"/>
      <c r="B364" s="41"/>
      <c r="C364" s="41"/>
      <c r="D364" s="41"/>
      <c r="E364" s="40"/>
      <c r="F364" s="181"/>
      <c r="G364" s="184"/>
      <c r="H364" s="187"/>
    </row>
    <row r="365" spans="1:8" s="39" customFormat="1" ht="12.75">
      <c r="A365" s="41"/>
      <c r="B365" s="41"/>
      <c r="C365" s="41"/>
      <c r="D365" s="41"/>
      <c r="E365" s="40"/>
      <c r="F365" s="181"/>
      <c r="G365" s="184"/>
      <c r="H365" s="187"/>
    </row>
    <row r="366" spans="1:8" s="39" customFormat="1" ht="12.75">
      <c r="A366" s="41"/>
      <c r="B366" s="41"/>
      <c r="C366" s="41"/>
      <c r="D366" s="41"/>
      <c r="E366" s="40"/>
      <c r="F366" s="181"/>
      <c r="G366" s="184"/>
      <c r="H366" s="187"/>
    </row>
    <row r="367" spans="1:8" s="39" customFormat="1" ht="12.75">
      <c r="A367" s="41"/>
      <c r="B367" s="41"/>
      <c r="C367" s="41"/>
      <c r="D367" s="41"/>
      <c r="E367" s="40"/>
      <c r="F367" s="181"/>
      <c r="G367" s="184"/>
      <c r="H367" s="187"/>
    </row>
    <row r="368" spans="1:8" s="39" customFormat="1" ht="12.75">
      <c r="A368" s="41"/>
      <c r="B368" s="41"/>
      <c r="C368" s="41"/>
      <c r="D368" s="41"/>
      <c r="E368" s="40"/>
      <c r="F368" s="181"/>
      <c r="G368" s="184"/>
      <c r="H368" s="187"/>
    </row>
    <row r="369" spans="1:8" s="39" customFormat="1" ht="12.75">
      <c r="A369" s="41"/>
      <c r="B369" s="41"/>
      <c r="C369" s="41"/>
      <c r="D369" s="41"/>
      <c r="E369" s="40"/>
      <c r="F369" s="181"/>
      <c r="G369" s="184"/>
      <c r="H369" s="187"/>
    </row>
    <row r="370" spans="1:8" s="39" customFormat="1" ht="12.75">
      <c r="A370" s="41"/>
      <c r="B370" s="41"/>
      <c r="C370" s="41"/>
      <c r="D370" s="41"/>
      <c r="E370" s="40"/>
      <c r="F370" s="181"/>
      <c r="G370" s="184"/>
      <c r="H370" s="187"/>
    </row>
    <row r="371" spans="1:8" s="39" customFormat="1" ht="12.75">
      <c r="A371" s="41"/>
      <c r="B371" s="41"/>
      <c r="C371" s="41"/>
      <c r="D371" s="41"/>
      <c r="E371" s="40"/>
      <c r="F371" s="181"/>
      <c r="G371" s="184"/>
      <c r="H371" s="187"/>
    </row>
    <row r="372" spans="1:8" s="39" customFormat="1" ht="12.75">
      <c r="A372" s="41"/>
      <c r="B372" s="41"/>
      <c r="C372" s="41"/>
      <c r="D372" s="41"/>
      <c r="E372" s="40"/>
      <c r="F372" s="181"/>
      <c r="G372" s="184"/>
      <c r="H372" s="187"/>
    </row>
    <row r="373" spans="1:8" s="39" customFormat="1" ht="12.75">
      <c r="A373" s="41"/>
      <c r="B373" s="41"/>
      <c r="C373" s="41"/>
      <c r="D373" s="41"/>
      <c r="E373" s="40"/>
      <c r="F373" s="181"/>
      <c r="G373" s="184"/>
      <c r="H373" s="187"/>
    </row>
    <row r="374" spans="1:8" s="39" customFormat="1" ht="12.75">
      <c r="A374" s="41"/>
      <c r="B374" s="41"/>
      <c r="C374" s="41"/>
      <c r="D374" s="41"/>
      <c r="E374" s="40"/>
      <c r="F374" s="181"/>
      <c r="G374" s="184"/>
      <c r="H374" s="187"/>
    </row>
    <row r="375" spans="1:8" s="39" customFormat="1" ht="12.75">
      <c r="A375" s="41"/>
      <c r="B375" s="41"/>
      <c r="C375" s="41"/>
      <c r="D375" s="41"/>
      <c r="E375" s="40"/>
      <c r="F375" s="181"/>
      <c r="G375" s="184"/>
      <c r="H375" s="187"/>
    </row>
    <row r="376" spans="1:8" s="39" customFormat="1" ht="12.75">
      <c r="A376" s="41"/>
      <c r="B376" s="41"/>
      <c r="C376" s="41"/>
      <c r="D376" s="41"/>
      <c r="E376" s="40"/>
      <c r="F376" s="181"/>
      <c r="G376" s="184"/>
      <c r="H376" s="187"/>
    </row>
    <row r="377" spans="1:8" s="39" customFormat="1" ht="12.75">
      <c r="A377" s="41"/>
      <c r="B377" s="41"/>
      <c r="C377" s="41"/>
      <c r="D377" s="41"/>
      <c r="E377" s="40"/>
      <c r="F377" s="181"/>
      <c r="G377" s="184"/>
      <c r="H377" s="187"/>
    </row>
    <row r="378" spans="1:8" s="39" customFormat="1" ht="12.75">
      <c r="A378" s="41"/>
      <c r="B378" s="41"/>
      <c r="C378" s="41"/>
      <c r="D378" s="41"/>
      <c r="E378" s="40"/>
      <c r="F378" s="181"/>
      <c r="G378" s="184"/>
      <c r="H378" s="187"/>
    </row>
    <row r="379" spans="1:8" s="39" customFormat="1" ht="12.75">
      <c r="A379" s="41"/>
      <c r="B379" s="41"/>
      <c r="C379" s="41"/>
      <c r="D379" s="41"/>
      <c r="E379" s="40"/>
      <c r="F379" s="181"/>
      <c r="G379" s="184"/>
      <c r="H379" s="187"/>
    </row>
    <row r="380" spans="1:8" s="39" customFormat="1" ht="12.75">
      <c r="A380" s="41"/>
      <c r="B380" s="41"/>
      <c r="C380" s="41"/>
      <c r="D380" s="41"/>
      <c r="E380" s="40"/>
      <c r="F380" s="181"/>
      <c r="G380" s="184"/>
      <c r="H380" s="187"/>
    </row>
    <row r="381" spans="1:8" s="39" customFormat="1" ht="12.75">
      <c r="A381" s="41"/>
      <c r="B381" s="41"/>
      <c r="C381" s="41"/>
      <c r="D381" s="41"/>
      <c r="E381" s="40"/>
      <c r="F381" s="181"/>
      <c r="G381" s="184"/>
      <c r="H381" s="187"/>
    </row>
    <row r="382" spans="1:8" s="39" customFormat="1" ht="12.75">
      <c r="A382" s="41"/>
      <c r="B382" s="41"/>
      <c r="C382" s="41"/>
      <c r="D382" s="41"/>
      <c r="E382" s="40"/>
      <c r="F382" s="181"/>
      <c r="G382" s="184"/>
      <c r="H382" s="187"/>
    </row>
    <row r="383" spans="1:8" s="39" customFormat="1" ht="12.75">
      <c r="A383" s="41"/>
      <c r="B383" s="41"/>
      <c r="C383" s="41"/>
      <c r="D383" s="41"/>
      <c r="E383" s="40"/>
      <c r="F383" s="181"/>
      <c r="G383" s="184"/>
      <c r="H383" s="187"/>
    </row>
    <row r="384" spans="1:8" s="39" customFormat="1" ht="12.75">
      <c r="A384" s="41"/>
      <c r="B384" s="41"/>
      <c r="C384" s="41"/>
      <c r="D384" s="41"/>
      <c r="E384" s="40"/>
      <c r="F384" s="181"/>
      <c r="G384" s="184"/>
      <c r="H384" s="187"/>
    </row>
    <row r="385" spans="1:8" s="39" customFormat="1" ht="12.75">
      <c r="A385" s="41"/>
      <c r="B385" s="41"/>
      <c r="C385" s="41"/>
      <c r="D385" s="41"/>
      <c r="E385" s="40"/>
      <c r="F385" s="181"/>
      <c r="G385" s="184"/>
      <c r="H385" s="187"/>
    </row>
    <row r="386" spans="1:8" s="39" customFormat="1" ht="12.75">
      <c r="A386" s="41"/>
      <c r="B386" s="41"/>
      <c r="C386" s="41"/>
      <c r="D386" s="41"/>
      <c r="E386" s="40"/>
      <c r="F386" s="181"/>
      <c r="G386" s="184"/>
      <c r="H386" s="187"/>
    </row>
    <row r="387" spans="1:8" s="39" customFormat="1" ht="12.75">
      <c r="A387" s="41"/>
      <c r="B387" s="41"/>
      <c r="C387" s="41"/>
      <c r="D387" s="41"/>
      <c r="E387" s="40"/>
      <c r="F387" s="181"/>
      <c r="G387" s="184"/>
      <c r="H387" s="187"/>
    </row>
    <row r="388" spans="1:8" s="39" customFormat="1" ht="12.75">
      <c r="A388" s="41"/>
      <c r="B388" s="41"/>
      <c r="C388" s="41"/>
      <c r="D388" s="41"/>
      <c r="E388" s="40"/>
      <c r="F388" s="181"/>
      <c r="G388" s="184"/>
      <c r="H388" s="187"/>
    </row>
    <row r="389" spans="1:8" s="39" customFormat="1" ht="12.75">
      <c r="A389" s="41"/>
      <c r="B389" s="41"/>
      <c r="C389" s="41"/>
      <c r="D389" s="41"/>
      <c r="E389" s="40"/>
      <c r="F389" s="181"/>
      <c r="G389" s="184"/>
      <c r="H389" s="187"/>
    </row>
    <row r="390" spans="1:8" s="39" customFormat="1" ht="12.75">
      <c r="A390" s="41"/>
      <c r="B390" s="41"/>
      <c r="C390" s="41"/>
      <c r="D390" s="41"/>
      <c r="E390" s="40"/>
      <c r="F390" s="181"/>
      <c r="G390" s="184"/>
      <c r="H390" s="187"/>
    </row>
    <row r="391" spans="1:8" s="39" customFormat="1" ht="12.75">
      <c r="A391" s="41"/>
      <c r="B391" s="41"/>
      <c r="C391" s="41"/>
      <c r="D391" s="41"/>
      <c r="E391" s="40"/>
      <c r="F391" s="181"/>
      <c r="G391" s="184"/>
      <c r="H391" s="187"/>
    </row>
    <row r="392" spans="1:8" s="39" customFormat="1" ht="12.75">
      <c r="A392" s="41"/>
      <c r="B392" s="41"/>
      <c r="C392" s="41"/>
      <c r="D392" s="41"/>
      <c r="E392" s="40"/>
      <c r="F392" s="181"/>
      <c r="G392" s="184"/>
      <c r="H392" s="187"/>
    </row>
    <row r="393" spans="1:8" s="39" customFormat="1" ht="12.75">
      <c r="A393" s="41"/>
      <c r="B393" s="41"/>
      <c r="C393" s="41"/>
      <c r="D393" s="41"/>
      <c r="E393" s="40"/>
      <c r="F393" s="181"/>
      <c r="G393" s="184"/>
      <c r="H393" s="187"/>
    </row>
    <row r="394" spans="1:8" s="39" customFormat="1" ht="12.75">
      <c r="A394" s="41"/>
      <c r="B394" s="41"/>
      <c r="C394" s="41"/>
      <c r="D394" s="41"/>
      <c r="E394" s="40"/>
      <c r="F394" s="181"/>
      <c r="G394" s="184"/>
      <c r="H394" s="187"/>
    </row>
    <row r="395" spans="1:8" s="39" customFormat="1" ht="12.75">
      <c r="A395" s="41"/>
      <c r="B395" s="41"/>
      <c r="C395" s="41"/>
      <c r="D395" s="41"/>
      <c r="E395" s="40"/>
      <c r="F395" s="181"/>
      <c r="G395" s="184"/>
      <c r="H395" s="187"/>
    </row>
    <row r="396" spans="1:8" s="39" customFormat="1" ht="12.75">
      <c r="A396" s="41"/>
      <c r="B396" s="41"/>
      <c r="C396" s="41"/>
      <c r="D396" s="41"/>
      <c r="E396" s="40"/>
      <c r="F396" s="181"/>
      <c r="G396" s="184"/>
      <c r="H396" s="187"/>
    </row>
    <row r="397" spans="1:8" s="39" customFormat="1" ht="12.75">
      <c r="A397" s="41"/>
      <c r="B397" s="41"/>
      <c r="C397" s="41"/>
      <c r="D397" s="41"/>
      <c r="E397" s="40"/>
      <c r="F397" s="181"/>
      <c r="G397" s="184"/>
      <c r="H397" s="187"/>
    </row>
    <row r="398" spans="1:8" s="39" customFormat="1" ht="12.75">
      <c r="A398" s="41"/>
      <c r="B398" s="41"/>
      <c r="C398" s="41"/>
      <c r="D398" s="41"/>
      <c r="E398" s="40"/>
      <c r="F398" s="181"/>
      <c r="G398" s="184"/>
      <c r="H398" s="187"/>
    </row>
    <row r="399" spans="1:8" s="39" customFormat="1" ht="12.75">
      <c r="A399" s="41"/>
      <c r="B399" s="41"/>
      <c r="C399" s="41"/>
      <c r="D399" s="41"/>
      <c r="E399" s="40"/>
      <c r="F399" s="181"/>
      <c r="G399" s="184"/>
      <c r="H399" s="187"/>
    </row>
    <row r="400" spans="1:8" s="39" customFormat="1" ht="12.75">
      <c r="A400" s="41"/>
      <c r="B400" s="41"/>
      <c r="C400" s="41"/>
      <c r="D400" s="41"/>
      <c r="E400" s="40"/>
      <c r="F400" s="181"/>
      <c r="G400" s="184"/>
      <c r="H400" s="187"/>
    </row>
    <row r="401" spans="1:8" s="39" customFormat="1" ht="12.75">
      <c r="A401" s="41"/>
      <c r="B401" s="41"/>
      <c r="C401" s="41"/>
      <c r="D401" s="41"/>
      <c r="E401" s="40"/>
      <c r="F401" s="181"/>
      <c r="G401" s="184"/>
      <c r="H401" s="187"/>
    </row>
    <row r="402" spans="1:8" s="39" customFormat="1" ht="12.75">
      <c r="A402" s="41"/>
      <c r="B402" s="41"/>
      <c r="C402" s="41"/>
      <c r="D402" s="41"/>
      <c r="E402" s="40"/>
      <c r="F402" s="181"/>
      <c r="G402" s="184"/>
      <c r="H402" s="187"/>
    </row>
    <row r="403" spans="1:8" s="39" customFormat="1" ht="12.75">
      <c r="A403" s="41"/>
      <c r="B403" s="41"/>
      <c r="C403" s="41"/>
      <c r="D403" s="41"/>
      <c r="E403" s="40"/>
      <c r="F403" s="181"/>
      <c r="G403" s="184"/>
      <c r="H403" s="187"/>
    </row>
    <row r="404" spans="1:8" s="39" customFormat="1" ht="12.75">
      <c r="A404" s="41"/>
      <c r="B404" s="41"/>
      <c r="C404" s="41"/>
      <c r="D404" s="41"/>
      <c r="E404" s="40"/>
      <c r="F404" s="181"/>
      <c r="G404" s="184"/>
      <c r="H404" s="187"/>
    </row>
    <row r="405" spans="1:8" s="39" customFormat="1" ht="12.75">
      <c r="A405" s="41"/>
      <c r="B405" s="41"/>
      <c r="C405" s="41"/>
      <c r="D405" s="41"/>
      <c r="E405" s="40"/>
      <c r="F405" s="181"/>
      <c r="G405" s="184"/>
      <c r="H405" s="187"/>
    </row>
    <row r="406" spans="1:8" s="39" customFormat="1" ht="12.75">
      <c r="A406" s="41"/>
      <c r="B406" s="41"/>
      <c r="C406" s="41"/>
      <c r="D406" s="41"/>
      <c r="E406" s="40"/>
      <c r="F406" s="181"/>
      <c r="G406" s="184"/>
      <c r="H406" s="187"/>
    </row>
    <row r="407" spans="1:8" s="39" customFormat="1" ht="12.75">
      <c r="A407" s="41"/>
      <c r="B407" s="41"/>
      <c r="C407" s="41"/>
      <c r="D407" s="41"/>
      <c r="E407" s="40"/>
      <c r="F407" s="181"/>
      <c r="G407" s="184"/>
      <c r="H407" s="187"/>
    </row>
    <row r="408" spans="1:8" s="39" customFormat="1" ht="12.75">
      <c r="A408" s="41"/>
      <c r="B408" s="41"/>
      <c r="C408" s="41"/>
      <c r="D408" s="41"/>
      <c r="E408" s="40"/>
      <c r="F408" s="181"/>
      <c r="G408" s="184"/>
      <c r="H408" s="187"/>
    </row>
    <row r="409" spans="1:8" s="39" customFormat="1" ht="12.75">
      <c r="A409" s="41"/>
      <c r="B409" s="41"/>
      <c r="C409" s="41"/>
      <c r="D409" s="41"/>
      <c r="E409" s="40"/>
      <c r="F409" s="181"/>
      <c r="G409" s="184"/>
      <c r="H409" s="187"/>
    </row>
    <row r="410" spans="1:8" s="39" customFormat="1" ht="12.75">
      <c r="A410" s="41"/>
      <c r="B410" s="41"/>
      <c r="C410" s="41"/>
      <c r="D410" s="41"/>
      <c r="E410" s="40"/>
      <c r="F410" s="181"/>
      <c r="G410" s="184"/>
      <c r="H410" s="187"/>
    </row>
    <row r="411" spans="1:8" s="39" customFormat="1" ht="12.75">
      <c r="A411" s="41"/>
      <c r="B411" s="41"/>
      <c r="C411" s="41"/>
      <c r="D411" s="41"/>
      <c r="E411" s="40"/>
      <c r="F411" s="181"/>
      <c r="G411" s="184"/>
      <c r="H411" s="187"/>
    </row>
    <row r="412" spans="1:8" s="39" customFormat="1" ht="12.75">
      <c r="A412" s="41"/>
      <c r="B412" s="41"/>
      <c r="C412" s="41"/>
      <c r="D412" s="41"/>
      <c r="E412" s="40"/>
      <c r="F412" s="181"/>
      <c r="G412" s="184"/>
      <c r="H412" s="187"/>
    </row>
    <row r="413" spans="1:8" s="39" customFormat="1" ht="12.75">
      <c r="A413" s="41"/>
      <c r="B413" s="41"/>
      <c r="C413" s="41"/>
      <c r="D413" s="41"/>
      <c r="E413" s="40"/>
      <c r="F413" s="181"/>
      <c r="G413" s="184"/>
      <c r="H413" s="187"/>
    </row>
    <row r="414" spans="1:8" s="39" customFormat="1" ht="12.75">
      <c r="A414" s="41"/>
      <c r="B414" s="41"/>
      <c r="C414" s="41"/>
      <c r="D414" s="41"/>
      <c r="E414" s="40"/>
      <c r="F414" s="181"/>
      <c r="G414" s="184"/>
      <c r="H414" s="187"/>
    </row>
    <row r="415" spans="1:8" s="39" customFormat="1" ht="12.75">
      <c r="A415" s="41"/>
      <c r="B415" s="41"/>
      <c r="C415" s="41"/>
      <c r="D415" s="41"/>
      <c r="E415" s="40"/>
      <c r="F415" s="181"/>
      <c r="G415" s="184"/>
      <c r="H415" s="187"/>
    </row>
    <row r="416" spans="1:8" s="39" customFormat="1" ht="12.75">
      <c r="A416" s="41"/>
      <c r="B416" s="41"/>
      <c r="C416" s="41"/>
      <c r="D416" s="41"/>
      <c r="E416" s="40"/>
      <c r="F416" s="181"/>
      <c r="G416" s="184"/>
      <c r="H416" s="187"/>
    </row>
    <row r="417" spans="1:8" s="39" customFormat="1" ht="12.75">
      <c r="A417" s="41"/>
      <c r="B417" s="41"/>
      <c r="C417" s="41"/>
      <c r="D417" s="41"/>
      <c r="E417" s="40"/>
      <c r="F417" s="181"/>
      <c r="G417" s="184"/>
      <c r="H417" s="187"/>
    </row>
    <row r="418" spans="1:8" s="39" customFormat="1" ht="12.75">
      <c r="A418" s="41"/>
      <c r="B418" s="41"/>
      <c r="C418" s="41"/>
      <c r="D418" s="41"/>
      <c r="E418" s="40"/>
      <c r="F418" s="181"/>
      <c r="G418" s="184"/>
      <c r="H418" s="187"/>
    </row>
    <row r="419" spans="1:8" s="39" customFormat="1" ht="12.75">
      <c r="A419" s="41"/>
      <c r="B419" s="41"/>
      <c r="C419" s="41"/>
      <c r="D419" s="41"/>
      <c r="E419" s="40"/>
      <c r="F419" s="181"/>
      <c r="G419" s="184"/>
      <c r="H419" s="187"/>
    </row>
    <row r="420" spans="1:8" s="39" customFormat="1" ht="12.75">
      <c r="A420" s="41"/>
      <c r="B420" s="41"/>
      <c r="C420" s="41"/>
      <c r="D420" s="41"/>
      <c r="E420" s="40"/>
      <c r="F420" s="181"/>
      <c r="G420" s="184"/>
      <c r="H420" s="187"/>
    </row>
    <row r="421" spans="1:8" s="39" customFormat="1" ht="12.75">
      <c r="A421" s="41"/>
      <c r="B421" s="41"/>
      <c r="C421" s="41"/>
      <c r="D421" s="41"/>
      <c r="E421" s="40"/>
      <c r="F421" s="181"/>
      <c r="G421" s="184"/>
      <c r="H421" s="187"/>
    </row>
    <row r="422" spans="1:8" s="39" customFormat="1" ht="12.75">
      <c r="A422" s="41"/>
      <c r="B422" s="41"/>
      <c r="C422" s="41"/>
      <c r="D422" s="41"/>
      <c r="E422" s="40"/>
      <c r="F422" s="181"/>
      <c r="G422" s="184"/>
      <c r="H422" s="187"/>
    </row>
    <row r="423" spans="1:8" s="39" customFormat="1" ht="12.75">
      <c r="A423" s="41"/>
      <c r="B423" s="41"/>
      <c r="C423" s="41"/>
      <c r="D423" s="41"/>
      <c r="E423" s="40"/>
      <c r="F423" s="181"/>
      <c r="G423" s="184"/>
      <c r="H423" s="187"/>
    </row>
    <row r="424" spans="1:8" s="39" customFormat="1" ht="12.75">
      <c r="A424" s="41"/>
      <c r="B424" s="41"/>
      <c r="C424" s="41"/>
      <c r="D424" s="41"/>
      <c r="E424" s="40"/>
      <c r="F424" s="181"/>
      <c r="G424" s="184"/>
      <c r="H424" s="187"/>
    </row>
    <row r="425" spans="1:8" s="39" customFormat="1" ht="12.75">
      <c r="A425" s="41"/>
      <c r="B425" s="41"/>
      <c r="C425" s="41"/>
      <c r="D425" s="41"/>
      <c r="E425" s="40"/>
      <c r="F425" s="181"/>
      <c r="G425" s="184"/>
      <c r="H425" s="187"/>
    </row>
    <row r="426" spans="1:8" s="39" customFormat="1" ht="12.75">
      <c r="A426" s="41"/>
      <c r="B426" s="41"/>
      <c r="C426" s="41"/>
      <c r="D426" s="41"/>
      <c r="E426" s="40"/>
      <c r="F426" s="181"/>
      <c r="G426" s="184"/>
      <c r="H426" s="187"/>
    </row>
    <row r="427" spans="1:8" s="39" customFormat="1" ht="12.75">
      <c r="A427" s="41"/>
      <c r="B427" s="41"/>
      <c r="C427" s="41"/>
      <c r="D427" s="41"/>
      <c r="E427" s="40"/>
      <c r="F427" s="181"/>
      <c r="G427" s="184"/>
      <c r="H427" s="187"/>
    </row>
    <row r="428" spans="1:8" s="39" customFormat="1" ht="12.75">
      <c r="A428" s="41"/>
      <c r="B428" s="41"/>
      <c r="C428" s="41"/>
      <c r="D428" s="41"/>
      <c r="E428" s="40"/>
      <c r="F428" s="181"/>
      <c r="G428" s="184"/>
      <c r="H428" s="187"/>
    </row>
    <row r="429" spans="1:8" s="39" customFormat="1" ht="12.75">
      <c r="A429" s="41"/>
      <c r="B429" s="41"/>
      <c r="C429" s="41"/>
      <c r="D429" s="41"/>
      <c r="E429" s="40"/>
      <c r="F429" s="181"/>
      <c r="G429" s="184"/>
      <c r="H429" s="187"/>
    </row>
    <row r="430" spans="1:8" s="39" customFormat="1" ht="12.75">
      <c r="A430" s="41"/>
      <c r="B430" s="41"/>
      <c r="C430" s="41"/>
      <c r="D430" s="41"/>
      <c r="E430" s="40"/>
      <c r="F430" s="181"/>
      <c r="G430" s="184"/>
      <c r="H430" s="187"/>
    </row>
    <row r="431" spans="1:8" s="39" customFormat="1" ht="12.75">
      <c r="A431" s="41"/>
      <c r="B431" s="41"/>
      <c r="C431" s="41"/>
      <c r="D431" s="41"/>
      <c r="E431" s="40"/>
      <c r="F431" s="181"/>
      <c r="G431" s="184"/>
      <c r="H431" s="187"/>
    </row>
    <row r="432" spans="1:8" s="39" customFormat="1" ht="12.75">
      <c r="A432" s="41"/>
      <c r="B432" s="41"/>
      <c r="C432" s="41"/>
      <c r="D432" s="41"/>
      <c r="E432" s="40"/>
      <c r="F432" s="181"/>
      <c r="G432" s="184"/>
      <c r="H432" s="187"/>
    </row>
    <row r="433" spans="1:8" s="39" customFormat="1" ht="12.75">
      <c r="A433" s="41"/>
      <c r="B433" s="41"/>
      <c r="C433" s="41"/>
      <c r="D433" s="41"/>
      <c r="E433" s="40"/>
      <c r="F433" s="181"/>
      <c r="G433" s="184"/>
      <c r="H433" s="187"/>
    </row>
    <row r="434" spans="1:8" s="39" customFormat="1" ht="12.75">
      <c r="A434" s="41"/>
      <c r="B434" s="41"/>
      <c r="C434" s="41"/>
      <c r="D434" s="41"/>
      <c r="E434" s="40"/>
      <c r="F434" s="181"/>
      <c r="G434" s="184"/>
      <c r="H434" s="187"/>
    </row>
    <row r="435" spans="1:8" s="39" customFormat="1" ht="12.75">
      <c r="A435" s="41"/>
      <c r="B435" s="41"/>
      <c r="C435" s="41"/>
      <c r="D435" s="41"/>
      <c r="E435" s="40"/>
      <c r="F435" s="181"/>
      <c r="G435" s="184"/>
      <c r="H435" s="187"/>
    </row>
    <row r="436" spans="1:8" s="39" customFormat="1" ht="12.75">
      <c r="A436" s="41"/>
      <c r="B436" s="41"/>
      <c r="C436" s="41"/>
      <c r="D436" s="41"/>
      <c r="E436" s="40"/>
      <c r="F436" s="181"/>
      <c r="G436" s="184"/>
      <c r="H436" s="187"/>
    </row>
    <row r="437" spans="1:8" s="39" customFormat="1" ht="12.75">
      <c r="A437" s="41"/>
      <c r="B437" s="41"/>
      <c r="C437" s="41"/>
      <c r="D437" s="41"/>
      <c r="E437" s="40"/>
      <c r="F437" s="181"/>
      <c r="G437" s="184"/>
      <c r="H437" s="187"/>
    </row>
    <row r="438" spans="1:8" s="39" customFormat="1" ht="12.75">
      <c r="A438" s="41"/>
      <c r="B438" s="41"/>
      <c r="C438" s="41"/>
      <c r="D438" s="41"/>
      <c r="E438" s="40"/>
      <c r="F438" s="181"/>
      <c r="G438" s="184"/>
      <c r="H438" s="187"/>
    </row>
    <row r="439" spans="1:8" s="39" customFormat="1" ht="12.75">
      <c r="A439" s="41"/>
      <c r="B439" s="41"/>
      <c r="C439" s="41"/>
      <c r="D439" s="41"/>
      <c r="E439" s="40"/>
      <c r="F439" s="181"/>
      <c r="G439" s="184"/>
      <c r="H439" s="187"/>
    </row>
    <row r="440" spans="1:8" s="39" customFormat="1" ht="12.75">
      <c r="A440" s="41"/>
      <c r="B440" s="41"/>
      <c r="C440" s="41"/>
      <c r="D440" s="41"/>
      <c r="E440" s="40"/>
      <c r="F440" s="181"/>
      <c r="G440" s="184"/>
      <c r="H440" s="187"/>
    </row>
    <row r="441" spans="1:8" s="39" customFormat="1" ht="12.75">
      <c r="A441" s="41"/>
      <c r="B441" s="41"/>
      <c r="C441" s="41"/>
      <c r="D441" s="41"/>
      <c r="E441" s="40"/>
      <c r="F441" s="181"/>
      <c r="G441" s="184"/>
      <c r="H441" s="187"/>
    </row>
    <row r="442" spans="1:8" s="39" customFormat="1" ht="12.75">
      <c r="A442" s="41"/>
      <c r="B442" s="41"/>
      <c r="C442" s="41"/>
      <c r="D442" s="41"/>
      <c r="E442" s="40"/>
      <c r="F442" s="181"/>
      <c r="G442" s="184"/>
      <c r="H442" s="187"/>
    </row>
    <row r="443" spans="1:8" s="39" customFormat="1" ht="12.75">
      <c r="A443" s="41"/>
      <c r="B443" s="41"/>
      <c r="C443" s="41"/>
      <c r="D443" s="41"/>
      <c r="E443" s="40"/>
      <c r="F443" s="181"/>
      <c r="G443" s="184"/>
      <c r="H443" s="187"/>
    </row>
    <row r="444" spans="1:8" s="39" customFormat="1" ht="12.75">
      <c r="A444" s="41"/>
      <c r="B444" s="41"/>
      <c r="C444" s="41"/>
      <c r="D444" s="41"/>
      <c r="E444" s="40"/>
      <c r="F444" s="181"/>
      <c r="G444" s="184"/>
      <c r="H444" s="187"/>
    </row>
    <row r="445" spans="1:8" s="39" customFormat="1" ht="12.75">
      <c r="A445" s="41"/>
      <c r="B445" s="41"/>
      <c r="C445" s="41"/>
      <c r="D445" s="41"/>
      <c r="E445" s="40"/>
      <c r="F445" s="181"/>
      <c r="G445" s="184"/>
      <c r="H445" s="187"/>
    </row>
    <row r="446" spans="1:8" s="39" customFormat="1" ht="12.75">
      <c r="A446" s="41"/>
      <c r="B446" s="41"/>
      <c r="C446" s="41"/>
      <c r="D446" s="41"/>
      <c r="E446" s="40"/>
      <c r="F446" s="181"/>
      <c r="G446" s="184"/>
      <c r="H446" s="187"/>
    </row>
    <row r="447" spans="1:8" s="39" customFormat="1" ht="12.75">
      <c r="A447" s="41"/>
      <c r="B447" s="41"/>
      <c r="C447" s="41"/>
      <c r="D447" s="41"/>
      <c r="E447" s="40"/>
      <c r="F447" s="181"/>
      <c r="G447" s="184"/>
      <c r="H447" s="187"/>
    </row>
    <row r="448" spans="1:8" s="39" customFormat="1" ht="12.75">
      <c r="A448" s="41"/>
      <c r="B448" s="41"/>
      <c r="C448" s="41"/>
      <c r="D448" s="41"/>
      <c r="E448" s="40"/>
      <c r="F448" s="181"/>
      <c r="G448" s="184"/>
      <c r="H448" s="187"/>
    </row>
    <row r="449" spans="1:8" s="39" customFormat="1" ht="12.75">
      <c r="A449" s="41"/>
      <c r="B449" s="41"/>
      <c r="C449" s="41"/>
      <c r="D449" s="41"/>
      <c r="E449" s="40"/>
      <c r="F449" s="181"/>
      <c r="G449" s="184"/>
      <c r="H449" s="187"/>
    </row>
    <row r="450" spans="1:8" s="39" customFormat="1" ht="12.75">
      <c r="A450" s="41"/>
      <c r="B450" s="41"/>
      <c r="C450" s="41"/>
      <c r="D450" s="41"/>
      <c r="E450" s="40"/>
      <c r="F450" s="181"/>
      <c r="G450" s="184"/>
      <c r="H450" s="187"/>
    </row>
    <row r="451" spans="1:8" s="39" customFormat="1" ht="12.75">
      <c r="A451" s="41"/>
      <c r="B451" s="41"/>
      <c r="C451" s="41"/>
      <c r="D451" s="41"/>
      <c r="E451" s="40"/>
      <c r="F451" s="181"/>
      <c r="G451" s="184"/>
      <c r="H451" s="187"/>
    </row>
    <row r="452" spans="1:8" s="39" customFormat="1" ht="12.75">
      <c r="A452" s="41"/>
      <c r="B452" s="41"/>
      <c r="C452" s="41"/>
      <c r="D452" s="41"/>
      <c r="E452" s="40"/>
      <c r="F452" s="181"/>
      <c r="G452" s="184"/>
      <c r="H452" s="187"/>
    </row>
    <row r="453" spans="1:8" s="39" customFormat="1" ht="12.75">
      <c r="A453" s="41"/>
      <c r="B453" s="41"/>
      <c r="C453" s="41"/>
      <c r="D453" s="41"/>
      <c r="E453" s="40"/>
      <c r="F453" s="181"/>
      <c r="G453" s="184"/>
      <c r="H453" s="187"/>
    </row>
    <row r="454" spans="1:8" s="39" customFormat="1" ht="12.75">
      <c r="A454" s="41"/>
      <c r="B454" s="41"/>
      <c r="C454" s="41"/>
      <c r="D454" s="41"/>
      <c r="E454" s="40"/>
      <c r="F454" s="181"/>
      <c r="G454" s="184"/>
      <c r="H454" s="187"/>
    </row>
    <row r="455" spans="1:8" s="39" customFormat="1" ht="12.75">
      <c r="A455" s="41"/>
      <c r="B455" s="41"/>
      <c r="C455" s="41"/>
      <c r="D455" s="41"/>
      <c r="E455" s="40"/>
      <c r="F455" s="181"/>
      <c r="G455" s="184"/>
      <c r="H455" s="187"/>
    </row>
    <row r="456" spans="1:8" s="39" customFormat="1" ht="12.75">
      <c r="A456" s="41"/>
      <c r="B456" s="41"/>
      <c r="C456" s="41"/>
      <c r="D456" s="41"/>
      <c r="E456" s="40"/>
      <c r="F456" s="181"/>
      <c r="G456" s="184"/>
      <c r="H456" s="187"/>
    </row>
    <row r="457" spans="1:8" s="39" customFormat="1" ht="12.75">
      <c r="A457" s="41"/>
      <c r="B457" s="41"/>
      <c r="C457" s="41"/>
      <c r="D457" s="41"/>
      <c r="E457" s="40"/>
      <c r="F457" s="181"/>
      <c r="G457" s="184"/>
      <c r="H457" s="187"/>
    </row>
    <row r="458" spans="1:8" s="39" customFormat="1" ht="12.75">
      <c r="A458" s="41"/>
      <c r="B458" s="41"/>
      <c r="C458" s="41"/>
      <c r="D458" s="41"/>
      <c r="E458" s="40"/>
      <c r="F458" s="181"/>
      <c r="G458" s="184"/>
      <c r="H458" s="187"/>
    </row>
    <row r="459" spans="1:8" s="39" customFormat="1" ht="12.75">
      <c r="A459" s="41"/>
      <c r="B459" s="41"/>
      <c r="C459" s="41"/>
      <c r="D459" s="41"/>
      <c r="E459" s="40"/>
      <c r="F459" s="181"/>
      <c r="G459" s="184"/>
      <c r="H459" s="187"/>
    </row>
    <row r="460" spans="1:8" s="39" customFormat="1" ht="12.75">
      <c r="A460" s="41"/>
      <c r="B460" s="41"/>
      <c r="C460" s="41"/>
      <c r="D460" s="41"/>
      <c r="E460" s="40"/>
      <c r="F460" s="181"/>
      <c r="G460" s="184"/>
      <c r="H460" s="187"/>
    </row>
    <row r="461" spans="1:8" s="39" customFormat="1" ht="12.75">
      <c r="A461" s="41"/>
      <c r="B461" s="41"/>
      <c r="C461" s="41"/>
      <c r="D461" s="41"/>
      <c r="E461" s="40"/>
      <c r="F461" s="181"/>
      <c r="G461" s="184"/>
      <c r="H461" s="187"/>
    </row>
    <row r="462" spans="1:8" s="39" customFormat="1" ht="12.75">
      <c r="A462" s="41"/>
      <c r="B462" s="41"/>
      <c r="C462" s="41"/>
      <c r="D462" s="41"/>
      <c r="E462" s="40"/>
      <c r="F462" s="181"/>
      <c r="G462" s="184"/>
      <c r="H462" s="187"/>
    </row>
    <row r="463" spans="1:8" s="39" customFormat="1" ht="12.75">
      <c r="A463" s="41"/>
      <c r="B463" s="41"/>
      <c r="C463" s="41"/>
      <c r="D463" s="41"/>
      <c r="E463" s="40"/>
      <c r="F463" s="181"/>
      <c r="G463" s="184"/>
      <c r="H463" s="187"/>
    </row>
    <row r="464" spans="1:8" s="39" customFormat="1" ht="12.75">
      <c r="A464" s="41"/>
      <c r="B464" s="41"/>
      <c r="C464" s="41"/>
      <c r="D464" s="41"/>
      <c r="E464" s="40"/>
      <c r="F464" s="181"/>
      <c r="G464" s="184"/>
      <c r="H464" s="187"/>
    </row>
    <row r="465" spans="1:8" s="39" customFormat="1" ht="12.75">
      <c r="A465" s="41"/>
      <c r="B465" s="41"/>
      <c r="C465" s="41"/>
      <c r="D465" s="41"/>
      <c r="E465" s="40"/>
      <c r="F465" s="181"/>
      <c r="G465" s="184"/>
      <c r="H465" s="187"/>
    </row>
    <row r="466" spans="1:8" s="39" customFormat="1" ht="12.75">
      <c r="A466" s="41"/>
      <c r="B466" s="41"/>
      <c r="C466" s="41"/>
      <c r="D466" s="41"/>
      <c r="E466" s="40"/>
      <c r="F466" s="181"/>
      <c r="G466" s="184"/>
      <c r="H466" s="187"/>
    </row>
    <row r="467" spans="1:8" s="39" customFormat="1" ht="12.75">
      <c r="A467" s="41"/>
      <c r="B467" s="41"/>
      <c r="C467" s="41"/>
      <c r="D467" s="41"/>
      <c r="E467" s="40"/>
      <c r="F467" s="181"/>
      <c r="G467" s="184"/>
      <c r="H467" s="187"/>
    </row>
    <row r="468" spans="1:8" s="39" customFormat="1" ht="12.75">
      <c r="A468" s="41"/>
      <c r="B468" s="41"/>
      <c r="C468" s="41"/>
      <c r="D468" s="41"/>
      <c r="E468" s="40"/>
      <c r="F468" s="181"/>
      <c r="G468" s="184"/>
      <c r="H468" s="187"/>
    </row>
    <row r="469" spans="1:8" s="39" customFormat="1" ht="12.75">
      <c r="A469" s="41"/>
      <c r="B469" s="41"/>
      <c r="C469" s="41"/>
      <c r="D469" s="41"/>
      <c r="E469" s="40"/>
      <c r="F469" s="181"/>
      <c r="G469" s="184"/>
      <c r="H469" s="187"/>
    </row>
    <row r="470" spans="1:8" s="39" customFormat="1" ht="12.75">
      <c r="A470" s="41"/>
      <c r="B470" s="41"/>
      <c r="C470" s="41"/>
      <c r="D470" s="41"/>
      <c r="E470" s="40"/>
      <c r="F470" s="181"/>
      <c r="G470" s="184"/>
      <c r="H470" s="187"/>
    </row>
    <row r="471" spans="1:8" s="39" customFormat="1" ht="12.75">
      <c r="A471" s="41"/>
      <c r="B471" s="41"/>
      <c r="C471" s="41"/>
      <c r="D471" s="41"/>
      <c r="E471" s="40"/>
      <c r="F471" s="181"/>
      <c r="G471" s="184"/>
      <c r="H471" s="187"/>
    </row>
    <row r="472" spans="1:8" s="39" customFormat="1" ht="12.75">
      <c r="A472" s="41"/>
      <c r="B472" s="41"/>
      <c r="C472" s="41"/>
      <c r="D472" s="41"/>
      <c r="E472" s="40"/>
      <c r="F472" s="181"/>
      <c r="G472" s="184"/>
      <c r="H472" s="187"/>
    </row>
    <row r="473" spans="1:8" s="39" customFormat="1" ht="12.75">
      <c r="A473" s="41"/>
      <c r="B473" s="41"/>
      <c r="C473" s="41"/>
      <c r="D473" s="41"/>
      <c r="E473" s="40"/>
      <c r="F473" s="181"/>
      <c r="G473" s="184"/>
      <c r="H473" s="187"/>
    </row>
    <row r="474" spans="1:8" s="39" customFormat="1" ht="12.75">
      <c r="A474" s="41"/>
      <c r="B474" s="41"/>
      <c r="C474" s="41"/>
      <c r="D474" s="41"/>
      <c r="E474" s="40"/>
      <c r="F474" s="181"/>
      <c r="G474" s="184"/>
      <c r="H474" s="187"/>
    </row>
    <row r="475" spans="1:8" s="39" customFormat="1" ht="12.75">
      <c r="A475" s="41"/>
      <c r="B475" s="41"/>
      <c r="C475" s="41"/>
      <c r="D475" s="41"/>
      <c r="E475" s="40"/>
      <c r="F475" s="181"/>
      <c r="G475" s="184"/>
      <c r="H475" s="187"/>
    </row>
    <row r="476" spans="1:8" s="39" customFormat="1" ht="12.75">
      <c r="A476" s="41"/>
      <c r="B476" s="41"/>
      <c r="C476" s="41"/>
      <c r="D476" s="41"/>
      <c r="E476" s="40"/>
      <c r="F476" s="181"/>
      <c r="G476" s="184"/>
      <c r="H476" s="187"/>
    </row>
    <row r="477" spans="1:8" s="39" customFormat="1" ht="12.75">
      <c r="A477" s="41"/>
      <c r="B477" s="41"/>
      <c r="C477" s="41"/>
      <c r="D477" s="41"/>
      <c r="E477" s="40"/>
      <c r="F477" s="181"/>
      <c r="G477" s="184"/>
      <c r="H477" s="187"/>
    </row>
    <row r="478" spans="1:8" s="39" customFormat="1" ht="12.75">
      <c r="A478" s="41"/>
      <c r="B478" s="41"/>
      <c r="C478" s="41"/>
      <c r="D478" s="41"/>
      <c r="E478" s="40"/>
      <c r="F478" s="181"/>
      <c r="G478" s="184"/>
      <c r="H478" s="187"/>
    </row>
    <row r="479" spans="1:8" s="39" customFormat="1" ht="12.75">
      <c r="A479" s="41"/>
      <c r="B479" s="41"/>
      <c r="C479" s="41"/>
      <c r="D479" s="41"/>
      <c r="E479" s="40"/>
      <c r="F479" s="181"/>
      <c r="G479" s="184"/>
      <c r="H479" s="187"/>
    </row>
    <row r="480" spans="1:8" s="39" customFormat="1" ht="12.75">
      <c r="A480" s="41"/>
      <c r="B480" s="41"/>
      <c r="C480" s="41"/>
      <c r="D480" s="41"/>
      <c r="E480" s="40"/>
      <c r="F480" s="181"/>
      <c r="G480" s="184"/>
      <c r="H480" s="187"/>
    </row>
    <row r="481" spans="1:8" s="39" customFormat="1" ht="12.75">
      <c r="A481" s="41"/>
      <c r="B481" s="41"/>
      <c r="C481" s="41"/>
      <c r="D481" s="41"/>
      <c r="E481" s="40"/>
      <c r="F481" s="181"/>
      <c r="G481" s="184"/>
      <c r="H481" s="187"/>
    </row>
    <row r="482" spans="1:8" s="39" customFormat="1" ht="12.75">
      <c r="A482" s="41"/>
      <c r="B482" s="41"/>
      <c r="C482" s="41"/>
      <c r="D482" s="41"/>
      <c r="E482" s="40"/>
      <c r="F482" s="181"/>
      <c r="G482" s="184"/>
      <c r="H482" s="187"/>
    </row>
    <row r="483" spans="1:8" s="39" customFormat="1" ht="12.75">
      <c r="A483" s="41"/>
      <c r="B483" s="41"/>
      <c r="C483" s="41"/>
      <c r="D483" s="41"/>
      <c r="E483" s="40"/>
      <c r="F483" s="181"/>
      <c r="G483" s="184"/>
      <c r="H483" s="187"/>
    </row>
    <row r="484" spans="1:8" s="39" customFormat="1" ht="12.75">
      <c r="A484" s="41"/>
      <c r="B484" s="41"/>
      <c r="C484" s="41"/>
      <c r="D484" s="41"/>
      <c r="E484" s="40"/>
      <c r="F484" s="181"/>
      <c r="G484" s="184"/>
      <c r="H484" s="187"/>
    </row>
    <row r="485" spans="1:8" s="39" customFormat="1" ht="12.75">
      <c r="A485" s="41"/>
      <c r="B485" s="41"/>
      <c r="C485" s="41"/>
      <c r="D485" s="41"/>
      <c r="E485" s="40"/>
      <c r="F485" s="181"/>
      <c r="G485" s="184"/>
      <c r="H485" s="187"/>
    </row>
    <row r="486" spans="1:8" s="39" customFormat="1" ht="12.75">
      <c r="A486" s="41"/>
      <c r="B486" s="41"/>
      <c r="C486" s="41"/>
      <c r="D486" s="41"/>
      <c r="E486" s="40"/>
      <c r="F486" s="181"/>
      <c r="G486" s="184"/>
      <c r="H486" s="187"/>
    </row>
    <row r="487" spans="1:8" s="39" customFormat="1" ht="12.75">
      <c r="A487" s="41"/>
      <c r="B487" s="41"/>
      <c r="C487" s="41"/>
      <c r="D487" s="41"/>
      <c r="E487" s="40"/>
      <c r="F487" s="181"/>
      <c r="G487" s="184"/>
      <c r="H487" s="187"/>
    </row>
    <row r="488" spans="1:8" s="39" customFormat="1" ht="12.75">
      <c r="A488" s="41"/>
      <c r="B488" s="41"/>
      <c r="C488" s="41"/>
      <c r="D488" s="41"/>
      <c r="E488" s="40"/>
      <c r="F488" s="181"/>
      <c r="G488" s="184"/>
      <c r="H488" s="187"/>
    </row>
    <row r="489" spans="1:8" s="39" customFormat="1" ht="12.75">
      <c r="A489" s="41"/>
      <c r="B489" s="41"/>
      <c r="C489" s="41"/>
      <c r="D489" s="41"/>
      <c r="E489" s="40"/>
      <c r="F489" s="181"/>
      <c r="G489" s="184"/>
      <c r="H489" s="187"/>
    </row>
    <row r="490" spans="1:8" s="39" customFormat="1" ht="12.75">
      <c r="A490" s="41"/>
      <c r="B490" s="41"/>
      <c r="C490" s="41"/>
      <c r="D490" s="41"/>
      <c r="E490" s="40"/>
      <c r="F490" s="181"/>
      <c r="G490" s="184"/>
      <c r="H490" s="187"/>
    </row>
    <row r="491" spans="1:8" s="39" customFormat="1" ht="12.75">
      <c r="A491" s="41"/>
      <c r="B491" s="41"/>
      <c r="C491" s="41"/>
      <c r="D491" s="41"/>
      <c r="E491" s="40"/>
      <c r="F491" s="181"/>
      <c r="G491" s="184"/>
      <c r="H491" s="187"/>
    </row>
    <row r="492" spans="1:8" s="39" customFormat="1" ht="12.75">
      <c r="A492" s="41"/>
      <c r="B492" s="41"/>
      <c r="C492" s="41"/>
      <c r="D492" s="41"/>
      <c r="E492" s="40"/>
      <c r="F492" s="181"/>
      <c r="G492" s="184"/>
      <c r="H492" s="187"/>
    </row>
    <row r="493" spans="1:8" s="39" customFormat="1" ht="12.75">
      <c r="A493" s="41"/>
      <c r="B493" s="41"/>
      <c r="C493" s="41"/>
      <c r="D493" s="41"/>
      <c r="E493" s="40"/>
      <c r="F493" s="181"/>
      <c r="G493" s="184"/>
      <c r="H493" s="187"/>
    </row>
    <row r="494" spans="1:8" s="39" customFormat="1" ht="12.75">
      <c r="A494" s="41"/>
      <c r="B494" s="41"/>
      <c r="C494" s="41"/>
      <c r="D494" s="41"/>
      <c r="E494" s="40"/>
      <c r="F494" s="181"/>
      <c r="G494" s="184"/>
      <c r="H494" s="187"/>
    </row>
    <row r="495" spans="1:8" s="39" customFormat="1" ht="12.75">
      <c r="A495" s="41"/>
      <c r="B495" s="41"/>
      <c r="C495" s="41"/>
      <c r="D495" s="41"/>
      <c r="E495" s="40"/>
      <c r="F495" s="181"/>
      <c r="G495" s="184"/>
      <c r="H495" s="187"/>
    </row>
    <row r="496" spans="1:8" s="39" customFormat="1" ht="12.75">
      <c r="A496" s="41"/>
      <c r="B496" s="41"/>
      <c r="C496" s="41"/>
      <c r="D496" s="41"/>
      <c r="E496" s="40"/>
      <c r="F496" s="181"/>
      <c r="G496" s="184"/>
      <c r="H496" s="187"/>
    </row>
    <row r="497" spans="1:8" s="39" customFormat="1" ht="12.75">
      <c r="A497" s="41"/>
      <c r="B497" s="41"/>
      <c r="C497" s="41"/>
      <c r="D497" s="41"/>
      <c r="E497" s="40"/>
      <c r="F497" s="181"/>
      <c r="G497" s="184"/>
      <c r="H497" s="187"/>
    </row>
    <row r="498" spans="1:8" s="39" customFormat="1" ht="12.75">
      <c r="A498" s="41"/>
      <c r="B498" s="41"/>
      <c r="C498" s="41"/>
      <c r="D498" s="41"/>
      <c r="E498" s="40"/>
      <c r="F498" s="181"/>
      <c r="G498" s="184"/>
      <c r="H498" s="187"/>
    </row>
    <row r="499" spans="1:8" s="39" customFormat="1" ht="12.75">
      <c r="A499" s="41"/>
      <c r="B499" s="41"/>
      <c r="C499" s="41"/>
      <c r="D499" s="41"/>
      <c r="E499" s="40"/>
      <c r="F499" s="181"/>
      <c r="G499" s="184"/>
      <c r="H499" s="187"/>
    </row>
    <row r="500" spans="1:8" s="39" customFormat="1" ht="12.75">
      <c r="A500" s="41"/>
      <c r="B500" s="41"/>
      <c r="C500" s="41"/>
      <c r="D500" s="41"/>
      <c r="E500" s="40"/>
      <c r="F500" s="181"/>
      <c r="G500" s="184"/>
      <c r="H500" s="187"/>
    </row>
    <row r="501" spans="1:8" s="39" customFormat="1" ht="12.75">
      <c r="A501" s="41"/>
      <c r="B501" s="41"/>
      <c r="C501" s="41"/>
      <c r="D501" s="41"/>
      <c r="E501" s="40"/>
      <c r="F501" s="181"/>
      <c r="G501" s="184"/>
      <c r="H501" s="187"/>
    </row>
    <row r="502" spans="1:8" s="39" customFormat="1" ht="12.75">
      <c r="A502" s="41"/>
      <c r="B502" s="41"/>
      <c r="C502" s="41"/>
      <c r="D502" s="41"/>
      <c r="E502" s="40"/>
      <c r="F502" s="181"/>
      <c r="G502" s="184"/>
      <c r="H502" s="187"/>
    </row>
    <row r="503" spans="1:8" s="39" customFormat="1" ht="12.75">
      <c r="A503" s="41"/>
      <c r="B503" s="41"/>
      <c r="C503" s="41"/>
      <c r="D503" s="41"/>
      <c r="E503" s="40"/>
      <c r="F503" s="181"/>
      <c r="G503" s="184"/>
      <c r="H503" s="187"/>
    </row>
    <row r="504" spans="1:8" s="39" customFormat="1" ht="12.75">
      <c r="A504" s="41"/>
      <c r="B504" s="41"/>
      <c r="C504" s="41"/>
      <c r="D504" s="41"/>
      <c r="E504" s="40"/>
      <c r="F504" s="181"/>
      <c r="G504" s="184"/>
      <c r="H504" s="187"/>
    </row>
    <row r="505" spans="1:8" s="39" customFormat="1" ht="12.75">
      <c r="A505" s="41"/>
      <c r="B505" s="41"/>
      <c r="C505" s="41"/>
      <c r="D505" s="41"/>
      <c r="E505" s="40"/>
      <c r="F505" s="181"/>
      <c r="G505" s="184"/>
      <c r="H505" s="187"/>
    </row>
    <row r="506" spans="1:8" s="39" customFormat="1" ht="12.75">
      <c r="A506" s="41"/>
      <c r="B506" s="41"/>
      <c r="C506" s="41"/>
      <c r="D506" s="41"/>
      <c r="E506" s="40"/>
      <c r="F506" s="181"/>
      <c r="G506" s="184"/>
      <c r="H506" s="187"/>
    </row>
    <row r="507" spans="1:8" s="39" customFormat="1" ht="12.75">
      <c r="A507" s="41"/>
      <c r="B507" s="41"/>
      <c r="C507" s="41"/>
      <c r="D507" s="41"/>
      <c r="E507" s="40"/>
      <c r="F507" s="181"/>
      <c r="G507" s="184"/>
      <c r="H507" s="187"/>
    </row>
    <row r="508" spans="1:8" s="39" customFormat="1" ht="12.75">
      <c r="A508" s="41"/>
      <c r="B508" s="41"/>
      <c r="C508" s="41"/>
      <c r="D508" s="41"/>
      <c r="E508" s="40"/>
      <c r="F508" s="181"/>
      <c r="G508" s="184"/>
      <c r="H508" s="187"/>
    </row>
    <row r="509" spans="1:8" s="39" customFormat="1" ht="12.75">
      <c r="A509" s="41"/>
      <c r="B509" s="41"/>
      <c r="C509" s="41"/>
      <c r="D509" s="41"/>
      <c r="E509" s="40"/>
      <c r="F509" s="181"/>
      <c r="G509" s="184"/>
      <c r="H509" s="187"/>
    </row>
    <row r="510" spans="1:8" s="39" customFormat="1" ht="12.75">
      <c r="A510" s="41"/>
      <c r="B510" s="41"/>
      <c r="C510" s="41"/>
      <c r="D510" s="41"/>
      <c r="E510" s="40"/>
      <c r="F510" s="181"/>
      <c r="G510" s="184"/>
      <c r="H510" s="187"/>
    </row>
    <row r="511" spans="1:8" s="39" customFormat="1" ht="12.75">
      <c r="A511" s="41"/>
      <c r="B511" s="41"/>
      <c r="C511" s="41"/>
      <c r="D511" s="41"/>
      <c r="E511" s="40"/>
      <c r="F511" s="181"/>
      <c r="G511" s="184"/>
      <c r="H511" s="187"/>
    </row>
    <row r="512" spans="1:8" s="39" customFormat="1" ht="12.75">
      <c r="A512" s="41"/>
      <c r="B512" s="41"/>
      <c r="C512" s="41"/>
      <c r="D512" s="41"/>
      <c r="E512" s="40"/>
      <c r="F512" s="181"/>
      <c r="G512" s="184"/>
      <c r="H512" s="187"/>
    </row>
    <row r="513" spans="1:8" s="39" customFormat="1" ht="12.75">
      <c r="A513" s="41"/>
      <c r="B513" s="41"/>
      <c r="C513" s="41"/>
      <c r="D513" s="41"/>
      <c r="E513" s="40"/>
      <c r="F513" s="181"/>
      <c r="G513" s="184"/>
      <c r="H513" s="187"/>
    </row>
    <row r="514" spans="1:8" s="39" customFormat="1" ht="12.75">
      <c r="A514" s="41"/>
      <c r="B514" s="41"/>
      <c r="C514" s="41"/>
      <c r="D514" s="41"/>
      <c r="E514" s="40"/>
      <c r="F514" s="181"/>
      <c r="G514" s="184"/>
      <c r="H514" s="187"/>
    </row>
    <row r="515" spans="1:8" s="39" customFormat="1" ht="12.75">
      <c r="A515" s="41"/>
      <c r="B515" s="41"/>
      <c r="C515" s="41"/>
      <c r="D515" s="41"/>
      <c r="E515" s="40"/>
      <c r="F515" s="181"/>
      <c r="G515" s="184"/>
      <c r="H515" s="187"/>
    </row>
    <row r="516" spans="1:8" s="39" customFormat="1" ht="12.75">
      <c r="A516" s="41"/>
      <c r="B516" s="41"/>
      <c r="C516" s="41"/>
      <c r="D516" s="41"/>
      <c r="E516" s="40"/>
      <c r="F516" s="181"/>
      <c r="G516" s="184"/>
      <c r="H516" s="187"/>
    </row>
    <row r="517" spans="1:8" s="39" customFormat="1" ht="12.75">
      <c r="A517" s="41"/>
      <c r="B517" s="41"/>
      <c r="C517" s="41"/>
      <c r="D517" s="41"/>
      <c r="E517" s="40"/>
      <c r="F517" s="181"/>
      <c r="G517" s="184"/>
      <c r="H517" s="187"/>
    </row>
    <row r="518" spans="1:8" s="39" customFormat="1" ht="12.75">
      <c r="A518" s="41"/>
      <c r="B518" s="41"/>
      <c r="C518" s="41"/>
      <c r="D518" s="41"/>
      <c r="E518" s="40"/>
      <c r="F518" s="181"/>
      <c r="G518" s="184"/>
      <c r="H518" s="187"/>
    </row>
    <row r="519" spans="1:8" s="39" customFormat="1" ht="12.75">
      <c r="A519" s="41"/>
      <c r="B519" s="41"/>
      <c r="C519" s="41"/>
      <c r="D519" s="41"/>
      <c r="E519" s="40"/>
      <c r="F519" s="181"/>
      <c r="G519" s="184"/>
      <c r="H519" s="187"/>
    </row>
    <row r="520" spans="1:8" s="39" customFormat="1" ht="12.75">
      <c r="A520" s="41"/>
      <c r="B520" s="41"/>
      <c r="C520" s="41"/>
      <c r="D520" s="41"/>
      <c r="E520" s="40"/>
      <c r="F520" s="181"/>
      <c r="G520" s="184"/>
      <c r="H520" s="187"/>
    </row>
    <row r="521" spans="1:8" s="39" customFormat="1" ht="12.75">
      <c r="A521" s="41"/>
      <c r="B521" s="41"/>
      <c r="C521" s="41"/>
      <c r="D521" s="41"/>
      <c r="E521" s="40"/>
      <c r="F521" s="181"/>
      <c r="G521" s="184"/>
      <c r="H521" s="187"/>
    </row>
    <row r="522" spans="1:8" s="39" customFormat="1" ht="12.75">
      <c r="A522" s="41"/>
      <c r="B522" s="41"/>
      <c r="C522" s="41"/>
      <c r="D522" s="41"/>
      <c r="E522" s="40"/>
      <c r="F522" s="181"/>
      <c r="G522" s="184"/>
      <c r="H522" s="187"/>
    </row>
    <row r="523" spans="1:8" s="39" customFormat="1" ht="12.75">
      <c r="A523" s="41"/>
      <c r="B523" s="41"/>
      <c r="C523" s="41"/>
      <c r="D523" s="41"/>
      <c r="E523" s="40"/>
      <c r="F523" s="181"/>
      <c r="G523" s="184"/>
      <c r="H523" s="187"/>
    </row>
    <row r="524" spans="1:8" s="39" customFormat="1" ht="12.75">
      <c r="A524" s="41"/>
      <c r="B524" s="41"/>
      <c r="C524" s="41"/>
      <c r="D524" s="41"/>
      <c r="E524" s="40"/>
      <c r="F524" s="181"/>
      <c r="G524" s="184"/>
      <c r="H524" s="187"/>
    </row>
    <row r="525" spans="1:8" s="39" customFormat="1" ht="12.75">
      <c r="A525" s="41"/>
      <c r="B525" s="41"/>
      <c r="C525" s="41"/>
      <c r="D525" s="41"/>
      <c r="E525" s="40"/>
      <c r="F525" s="181"/>
      <c r="G525" s="184"/>
      <c r="H525" s="187"/>
    </row>
    <row r="526" spans="1:8" s="39" customFormat="1" ht="12.75">
      <c r="A526" s="41"/>
      <c r="B526" s="41"/>
      <c r="C526" s="41"/>
      <c r="D526" s="41"/>
      <c r="E526" s="40"/>
      <c r="F526" s="181"/>
      <c r="G526" s="184"/>
      <c r="H526" s="187"/>
    </row>
    <row r="527" spans="1:8" s="39" customFormat="1" ht="12.75">
      <c r="A527" s="41"/>
      <c r="B527" s="41"/>
      <c r="C527" s="41"/>
      <c r="D527" s="41"/>
      <c r="E527" s="40"/>
      <c r="F527" s="181"/>
      <c r="G527" s="184"/>
      <c r="H527" s="187"/>
    </row>
    <row r="528" spans="1:8" s="39" customFormat="1" ht="12.75">
      <c r="A528" s="41"/>
      <c r="B528" s="41"/>
      <c r="C528" s="41"/>
      <c r="D528" s="41"/>
      <c r="E528" s="40"/>
      <c r="F528" s="181"/>
      <c r="G528" s="184"/>
      <c r="H528" s="187"/>
    </row>
    <row r="529" spans="1:8" s="39" customFormat="1" ht="12.75">
      <c r="A529" s="41"/>
      <c r="B529" s="41"/>
      <c r="C529" s="41"/>
      <c r="D529" s="41"/>
      <c r="E529" s="40"/>
      <c r="F529" s="181"/>
      <c r="G529" s="184"/>
      <c r="H529" s="187"/>
    </row>
    <row r="530" spans="1:8" s="39" customFormat="1" ht="12.75">
      <c r="A530" s="41"/>
      <c r="B530" s="41"/>
      <c r="C530" s="41"/>
      <c r="D530" s="41"/>
      <c r="E530" s="40"/>
      <c r="F530" s="181"/>
      <c r="G530" s="184"/>
      <c r="H530" s="187"/>
    </row>
    <row r="531" spans="1:8" s="39" customFormat="1" ht="12.75">
      <c r="A531" s="41"/>
      <c r="B531" s="41"/>
      <c r="C531" s="41"/>
      <c r="D531" s="41"/>
      <c r="E531" s="40"/>
      <c r="F531" s="181"/>
      <c r="G531" s="184"/>
      <c r="H531" s="187"/>
    </row>
    <row r="532" spans="1:8" s="39" customFormat="1" ht="12.75">
      <c r="A532" s="41"/>
      <c r="B532" s="41"/>
      <c r="C532" s="41"/>
      <c r="D532" s="41"/>
      <c r="E532" s="40"/>
      <c r="F532" s="181"/>
      <c r="G532" s="184"/>
      <c r="H532" s="187"/>
    </row>
    <row r="533" spans="1:8" s="39" customFormat="1" ht="12.75">
      <c r="A533" s="41"/>
      <c r="B533" s="41"/>
      <c r="C533" s="41"/>
      <c r="D533" s="41"/>
      <c r="E533" s="40"/>
      <c r="F533" s="181"/>
      <c r="G533" s="184"/>
      <c r="H533" s="187"/>
    </row>
    <row r="534" spans="1:8" s="39" customFormat="1" ht="12.75">
      <c r="A534" s="41"/>
      <c r="B534" s="41"/>
      <c r="C534" s="41"/>
      <c r="D534" s="41"/>
      <c r="E534" s="40"/>
      <c r="F534" s="181"/>
      <c r="G534" s="184"/>
      <c r="H534" s="187"/>
    </row>
    <row r="535" spans="1:8" s="39" customFormat="1" ht="12.75">
      <c r="A535" s="41"/>
      <c r="B535" s="41"/>
      <c r="C535" s="41"/>
      <c r="D535" s="41"/>
      <c r="E535" s="40"/>
      <c r="F535" s="181"/>
      <c r="G535" s="184"/>
      <c r="H535" s="187"/>
    </row>
    <row r="536" spans="1:8" s="39" customFormat="1" ht="12.75">
      <c r="A536" s="41"/>
      <c r="B536" s="41"/>
      <c r="C536" s="41"/>
      <c r="D536" s="41"/>
      <c r="E536" s="40"/>
      <c r="F536" s="181"/>
      <c r="G536" s="184"/>
      <c r="H536" s="187"/>
    </row>
    <row r="537" spans="1:8" s="39" customFormat="1" ht="12.75">
      <c r="A537" s="41"/>
      <c r="B537" s="41"/>
      <c r="C537" s="41"/>
      <c r="D537" s="41"/>
      <c r="E537" s="40"/>
      <c r="F537" s="181"/>
      <c r="G537" s="184"/>
      <c r="H537" s="187"/>
    </row>
    <row r="538" spans="1:8" s="39" customFormat="1" ht="12.75">
      <c r="A538" s="41"/>
      <c r="B538" s="41"/>
      <c r="C538" s="41"/>
      <c r="D538" s="41"/>
      <c r="E538" s="40"/>
      <c r="F538" s="181"/>
      <c r="G538" s="184"/>
      <c r="H538" s="187"/>
    </row>
    <row r="539" spans="1:8" s="39" customFormat="1" ht="12.75">
      <c r="A539" s="41"/>
      <c r="B539" s="41"/>
      <c r="C539" s="41"/>
      <c r="D539" s="41"/>
      <c r="E539" s="40"/>
      <c r="F539" s="181"/>
      <c r="G539" s="184"/>
      <c r="H539" s="187"/>
    </row>
    <row r="540" spans="1:8" s="39" customFormat="1" ht="12.75">
      <c r="A540" s="41"/>
      <c r="B540" s="41"/>
      <c r="C540" s="41"/>
      <c r="D540" s="41"/>
      <c r="E540" s="40"/>
      <c r="F540" s="181"/>
      <c r="G540" s="184"/>
      <c r="H540" s="187"/>
    </row>
    <row r="541" spans="1:8" s="39" customFormat="1" ht="12.75">
      <c r="A541" s="41"/>
      <c r="B541" s="41"/>
      <c r="C541" s="41"/>
      <c r="D541" s="41"/>
      <c r="E541" s="40"/>
      <c r="F541" s="181"/>
      <c r="G541" s="184"/>
      <c r="H541" s="187"/>
    </row>
    <row r="542" spans="1:8" s="39" customFormat="1" ht="12.75">
      <c r="A542" s="41"/>
      <c r="B542" s="41"/>
      <c r="C542" s="41"/>
      <c r="D542" s="41"/>
      <c r="E542" s="40"/>
      <c r="F542" s="181"/>
      <c r="G542" s="184"/>
      <c r="H542" s="187"/>
    </row>
    <row r="543" spans="1:8" s="39" customFormat="1" ht="12.75">
      <c r="A543" s="41"/>
      <c r="B543" s="41"/>
      <c r="C543" s="41"/>
      <c r="D543" s="41"/>
      <c r="E543" s="40"/>
      <c r="F543" s="181"/>
      <c r="G543" s="184"/>
      <c r="H543" s="187"/>
    </row>
    <row r="544" spans="1:8" s="39" customFormat="1" ht="12.75">
      <c r="A544" s="41"/>
      <c r="B544" s="41"/>
      <c r="C544" s="41"/>
      <c r="D544" s="41"/>
      <c r="E544" s="40"/>
      <c r="F544" s="181"/>
      <c r="G544" s="184"/>
      <c r="H544" s="187"/>
    </row>
    <row r="545" spans="1:8" s="39" customFormat="1" ht="12.75">
      <c r="A545" s="41"/>
      <c r="B545" s="41"/>
      <c r="C545" s="41"/>
      <c r="D545" s="41"/>
      <c r="E545" s="40"/>
      <c r="F545" s="181"/>
      <c r="G545" s="184"/>
      <c r="H545" s="187"/>
    </row>
    <row r="546" spans="1:8" s="39" customFormat="1" ht="12.75">
      <c r="A546" s="41"/>
      <c r="B546" s="41"/>
      <c r="C546" s="41"/>
      <c r="D546" s="41"/>
      <c r="E546" s="40"/>
      <c r="F546" s="181"/>
      <c r="G546" s="184"/>
      <c r="H546" s="187"/>
    </row>
    <row r="547" spans="1:8" s="39" customFormat="1" ht="12.75">
      <c r="A547" s="41"/>
      <c r="B547" s="41"/>
      <c r="C547" s="41"/>
      <c r="D547" s="41"/>
      <c r="E547" s="40"/>
      <c r="F547" s="181"/>
      <c r="G547" s="184"/>
      <c r="H547" s="187"/>
    </row>
    <row r="548" spans="1:8" s="39" customFormat="1" ht="12.75">
      <c r="A548" s="41"/>
      <c r="B548" s="41"/>
      <c r="C548" s="41"/>
      <c r="D548" s="41"/>
      <c r="E548" s="40"/>
      <c r="F548" s="181"/>
      <c r="G548" s="184"/>
      <c r="H548" s="187"/>
    </row>
    <row r="549" spans="1:8" s="39" customFormat="1" ht="12.75">
      <c r="A549" s="41"/>
      <c r="B549" s="41"/>
      <c r="C549" s="41"/>
      <c r="D549" s="41"/>
      <c r="E549" s="40"/>
      <c r="F549" s="181"/>
      <c r="G549" s="184"/>
      <c r="H549" s="187"/>
    </row>
    <row r="550" spans="1:8" s="39" customFormat="1" ht="12.75">
      <c r="A550" s="41"/>
      <c r="B550" s="41"/>
      <c r="C550" s="41"/>
      <c r="D550" s="41"/>
      <c r="E550" s="40"/>
      <c r="F550" s="181"/>
      <c r="G550" s="184"/>
      <c r="H550" s="187"/>
    </row>
  </sheetData>
  <mergeCells count="1">
    <mergeCell ref="A6:D6"/>
  </mergeCells>
  <printOptions horizontalCentered="1"/>
  <pageMargins left="0.5118110236220472" right="0.5118110236220472" top="0.7874015748031497" bottom="0.5905511811023623" header="0.5118110236220472" footer="0.31496062992125984"/>
  <pageSetup firstPageNumber="6" useFirstPageNumber="1" horizontalDpi="600" verticalDpi="600" orientation="portrait" paperSize="9" r:id="rId3"/>
  <headerFooter alignWithMargins="0">
    <oddFooter>&amp;C&amp;8Wydatki - str.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A1" sqref="A1:H38"/>
    </sheetView>
  </sheetViews>
  <sheetFormatPr defaultColWidth="9.00390625" defaultRowHeight="12.75"/>
  <cols>
    <col min="1" max="1" width="5.625" style="9" customWidth="1"/>
    <col min="2" max="2" width="7.875" style="9" customWidth="1"/>
    <col min="3" max="3" width="5.75390625" style="9" customWidth="1"/>
    <col min="4" max="4" width="33.375" style="9" customWidth="1"/>
    <col min="5" max="5" width="11.75390625" style="9" hidden="1" customWidth="1"/>
    <col min="6" max="6" width="11.75390625" style="91" hidden="1" customWidth="1"/>
    <col min="7" max="7" width="11.625" style="91" hidden="1" customWidth="1"/>
    <col min="8" max="8" width="20.375" style="0" customWidth="1"/>
  </cols>
  <sheetData>
    <row r="1" spans="1:8" ht="12.75">
      <c r="A1" s="106"/>
      <c r="B1" s="106"/>
      <c r="C1" s="106"/>
      <c r="D1" s="106"/>
      <c r="E1" s="107"/>
      <c r="F1" s="107"/>
      <c r="G1" s="107"/>
      <c r="H1" s="107" t="s">
        <v>281</v>
      </c>
    </row>
    <row r="2" spans="1:8" ht="12.75">
      <c r="A2" s="106"/>
      <c r="B2" s="106"/>
      <c r="C2" s="106"/>
      <c r="D2" s="106"/>
      <c r="E2" s="107"/>
      <c r="F2" s="107"/>
      <c r="G2" s="107"/>
      <c r="H2" s="107" t="s">
        <v>474</v>
      </c>
    </row>
    <row r="3" spans="1:8" ht="12.75">
      <c r="A3" s="106"/>
      <c r="B3" s="106"/>
      <c r="C3" s="106"/>
      <c r="D3" s="106"/>
      <c r="E3" s="107"/>
      <c r="F3" s="107"/>
      <c r="G3" s="107"/>
      <c r="H3" s="107" t="s">
        <v>192</v>
      </c>
    </row>
    <row r="4" spans="1:8" ht="12.75">
      <c r="A4" s="106"/>
      <c r="B4" s="106"/>
      <c r="C4" s="106"/>
      <c r="D4" s="106"/>
      <c r="E4" s="107"/>
      <c r="F4" s="107"/>
      <c r="G4" s="107"/>
      <c r="H4" s="107" t="s">
        <v>477</v>
      </c>
    </row>
    <row r="5" spans="1:8" ht="12.75">
      <c r="A5" s="106"/>
      <c r="B5" s="106"/>
      <c r="C5" s="106"/>
      <c r="D5" s="106"/>
      <c r="E5" s="106"/>
      <c r="F5" s="221"/>
      <c r="G5" s="221"/>
      <c r="H5" s="220"/>
    </row>
    <row r="6" spans="1:8" ht="27.75" customHeight="1">
      <c r="A6" s="396" t="s">
        <v>346</v>
      </c>
      <c r="B6" s="396"/>
      <c r="C6" s="396"/>
      <c r="D6" s="396"/>
      <c r="E6" s="219"/>
      <c r="F6" s="221"/>
      <c r="G6" s="221"/>
      <c r="H6" s="220"/>
    </row>
    <row r="7" spans="1:8" ht="11.25" customHeight="1">
      <c r="A7" s="219"/>
      <c r="B7" s="219"/>
      <c r="C7" s="219"/>
      <c r="D7" s="219"/>
      <c r="E7" s="219"/>
      <c r="F7" s="221"/>
      <c r="G7" s="221"/>
      <c r="H7" s="220"/>
    </row>
    <row r="8" spans="1:8" s="9" customFormat="1" ht="28.5" customHeight="1">
      <c r="A8" s="113" t="s">
        <v>0</v>
      </c>
      <c r="B8" s="113" t="s">
        <v>1</v>
      </c>
      <c r="C8" s="156" t="s">
        <v>2</v>
      </c>
      <c r="D8" s="113" t="s">
        <v>3</v>
      </c>
      <c r="E8" s="203" t="s">
        <v>165</v>
      </c>
      <c r="F8" s="34" t="s">
        <v>304</v>
      </c>
      <c r="G8" s="34" t="s">
        <v>305</v>
      </c>
      <c r="H8" s="202" t="s">
        <v>168</v>
      </c>
    </row>
    <row r="9" spans="1:8" s="9" customFormat="1" ht="24" customHeight="1">
      <c r="A9" s="63" t="s">
        <v>18</v>
      </c>
      <c r="B9" s="54"/>
      <c r="C9" s="105"/>
      <c r="D9" s="66" t="s">
        <v>19</v>
      </c>
      <c r="E9" s="116">
        <f>SUM(E10)</f>
        <v>144800</v>
      </c>
      <c r="F9" s="205">
        <f>SUM(F10)</f>
        <v>0</v>
      </c>
      <c r="G9" s="205">
        <f>SUM(G10)</f>
        <v>0</v>
      </c>
      <c r="H9" s="116">
        <f>SUM(H10)</f>
        <v>144800</v>
      </c>
    </row>
    <row r="10" spans="1:8" s="43" customFormat="1" ht="21.75" customHeight="1">
      <c r="A10" s="120"/>
      <c r="B10" s="120">
        <v>75011</v>
      </c>
      <c r="C10" s="121"/>
      <c r="D10" s="68" t="s">
        <v>20</v>
      </c>
      <c r="E10" s="149">
        <f>E11</f>
        <v>144800</v>
      </c>
      <c r="F10" s="150">
        <f>F11</f>
        <v>0</v>
      </c>
      <c r="G10" s="150">
        <f>G11</f>
        <v>0</v>
      </c>
      <c r="H10" s="149">
        <f>H11</f>
        <v>144800</v>
      </c>
    </row>
    <row r="11" spans="1:8" s="43" customFormat="1" ht="57.75" customHeight="1">
      <c r="A11" s="120"/>
      <c r="B11" s="142"/>
      <c r="C11" s="122" t="s">
        <v>258</v>
      </c>
      <c r="D11" s="68" t="s">
        <v>348</v>
      </c>
      <c r="E11" s="149">
        <v>144800</v>
      </c>
      <c r="F11" s="148"/>
      <c r="G11" s="148"/>
      <c r="H11" s="204">
        <f>SUM(E11+F11-G11)</f>
        <v>144800</v>
      </c>
    </row>
    <row r="12" spans="1:8" s="9" customFormat="1" ht="40.5" customHeight="1">
      <c r="A12" s="63">
        <v>751</v>
      </c>
      <c r="B12" s="65"/>
      <c r="C12" s="117"/>
      <c r="D12" s="66" t="s">
        <v>23</v>
      </c>
      <c r="E12" s="118">
        <f>SUM(E13)</f>
        <v>3930</v>
      </c>
      <c r="F12" s="118">
        <f>SUM(F13)</f>
        <v>0</v>
      </c>
      <c r="G12" s="118">
        <f>SUM(G13)</f>
        <v>100</v>
      </c>
      <c r="H12" s="118">
        <f>SUM(H13)</f>
        <v>3830</v>
      </c>
    </row>
    <row r="13" spans="1:8" s="43" customFormat="1" ht="22.5">
      <c r="A13" s="142"/>
      <c r="B13" s="120">
        <v>75101</v>
      </c>
      <c r="C13" s="121"/>
      <c r="D13" s="68" t="s">
        <v>24</v>
      </c>
      <c r="E13" s="150">
        <f>E14</f>
        <v>3930</v>
      </c>
      <c r="F13" s="150">
        <f>F14</f>
        <v>0</v>
      </c>
      <c r="G13" s="150">
        <f>G14</f>
        <v>100</v>
      </c>
      <c r="H13" s="150">
        <f>H14</f>
        <v>3830</v>
      </c>
    </row>
    <row r="14" spans="1:8" s="43" customFormat="1" ht="56.25">
      <c r="A14" s="142"/>
      <c r="B14" s="120"/>
      <c r="C14" s="122" t="s">
        <v>258</v>
      </c>
      <c r="D14" s="68" t="s">
        <v>353</v>
      </c>
      <c r="E14" s="150">
        <v>3930</v>
      </c>
      <c r="F14" s="148"/>
      <c r="G14" s="148">
        <v>100</v>
      </c>
      <c r="H14" s="148">
        <f>SUM(E14+F14-G14)</f>
        <v>3830</v>
      </c>
    </row>
    <row r="15" spans="1:8" s="9" customFormat="1" ht="27.75" customHeight="1">
      <c r="A15" s="63" t="s">
        <v>25</v>
      </c>
      <c r="B15" s="54"/>
      <c r="C15" s="105"/>
      <c r="D15" s="66" t="s">
        <v>166</v>
      </c>
      <c r="E15" s="116">
        <f>E16</f>
        <v>400</v>
      </c>
      <c r="F15" s="205">
        <f>F16</f>
        <v>0</v>
      </c>
      <c r="G15" s="205">
        <f>G16</f>
        <v>0</v>
      </c>
      <c r="H15" s="116">
        <f>H16</f>
        <v>400</v>
      </c>
    </row>
    <row r="16" spans="1:8" s="43" customFormat="1" ht="23.25" customHeight="1">
      <c r="A16" s="142"/>
      <c r="B16" s="120" t="s">
        <v>27</v>
      </c>
      <c r="C16" s="121"/>
      <c r="D16" s="68" t="s">
        <v>28</v>
      </c>
      <c r="E16" s="149">
        <f>SUM(E17)</f>
        <v>400</v>
      </c>
      <c r="F16" s="150">
        <f>SUM(F17)</f>
        <v>0</v>
      </c>
      <c r="G16" s="150">
        <f>SUM(G17)</f>
        <v>0</v>
      </c>
      <c r="H16" s="149">
        <f>SUM(H17)</f>
        <v>400</v>
      </c>
    </row>
    <row r="17" spans="1:8" s="43" customFormat="1" ht="56.25">
      <c r="A17" s="142"/>
      <c r="B17" s="120"/>
      <c r="C17" s="122" t="s">
        <v>258</v>
      </c>
      <c r="D17" s="68" t="s">
        <v>348</v>
      </c>
      <c r="E17" s="149">
        <v>400</v>
      </c>
      <c r="F17" s="148"/>
      <c r="G17" s="148"/>
      <c r="H17" s="204">
        <f>SUM(E17+F17-G17)</f>
        <v>400</v>
      </c>
    </row>
    <row r="18" spans="1:8" s="72" customFormat="1" ht="60">
      <c r="A18" s="65">
        <v>756</v>
      </c>
      <c r="B18" s="63"/>
      <c r="C18" s="178"/>
      <c r="D18" s="186" t="s">
        <v>227</v>
      </c>
      <c r="E18" s="179">
        <f>SUM(E19)</f>
        <v>141510</v>
      </c>
      <c r="F18" s="118">
        <f aca="true" t="shared" si="0" ref="F18:H19">SUM(F19)</f>
        <v>143240</v>
      </c>
      <c r="G18" s="118">
        <f t="shared" si="0"/>
        <v>0</v>
      </c>
      <c r="H18" s="179">
        <f t="shared" si="0"/>
        <v>284750</v>
      </c>
    </row>
    <row r="19" spans="1:8" s="43" customFormat="1" ht="45">
      <c r="A19" s="142"/>
      <c r="B19" s="120">
        <v>75615</v>
      </c>
      <c r="C19" s="122"/>
      <c r="D19" s="119" t="s">
        <v>228</v>
      </c>
      <c r="E19" s="149">
        <f>SUM(E20)</f>
        <v>141510</v>
      </c>
      <c r="F19" s="150">
        <f t="shared" si="0"/>
        <v>143240</v>
      </c>
      <c r="G19" s="150">
        <f t="shared" si="0"/>
        <v>0</v>
      </c>
      <c r="H19" s="149">
        <f t="shared" si="0"/>
        <v>284750</v>
      </c>
    </row>
    <row r="20" spans="1:8" s="43" customFormat="1" ht="33.75">
      <c r="A20" s="142"/>
      <c r="B20" s="120"/>
      <c r="C20" s="122">
        <v>2440</v>
      </c>
      <c r="D20" s="119" t="s">
        <v>271</v>
      </c>
      <c r="E20" s="149">
        <v>141510</v>
      </c>
      <c r="F20" s="148">
        <v>143240</v>
      </c>
      <c r="G20" s="148"/>
      <c r="H20" s="204">
        <f>SUM(E20+F20-G20)</f>
        <v>284750</v>
      </c>
    </row>
    <row r="21" spans="1:8" s="72" customFormat="1" ht="28.5" customHeight="1">
      <c r="A21" s="63" t="s">
        <v>229</v>
      </c>
      <c r="B21" s="65"/>
      <c r="C21" s="117"/>
      <c r="D21" s="66" t="s">
        <v>275</v>
      </c>
      <c r="E21" s="116">
        <f>SUM(E22,E26,E28,E31,E33,E24)</f>
        <v>7040846</v>
      </c>
      <c r="F21" s="116">
        <f>SUM(F22,F26,F28,F31,F33,F24)</f>
        <v>5507000</v>
      </c>
      <c r="G21" s="116">
        <f>SUM(G22,G26,G28,G31,G33,G24)</f>
        <v>5507000</v>
      </c>
      <c r="H21" s="116">
        <f>SUM(H22,H26,H28,H31,H33,H24)</f>
        <v>7040846</v>
      </c>
    </row>
    <row r="22" spans="1:8" s="43" customFormat="1" ht="33.75" hidden="1">
      <c r="A22" s="120"/>
      <c r="B22" s="89">
        <v>85212</v>
      </c>
      <c r="C22" s="134"/>
      <c r="D22" s="132" t="s">
        <v>320</v>
      </c>
      <c r="E22" s="147">
        <f>SUM(E23)</f>
        <v>5507000</v>
      </c>
      <c r="F22" s="206">
        <f>SUM(F23)</f>
        <v>0</v>
      </c>
      <c r="G22" s="206">
        <f>SUM(G23)</f>
        <v>5507000</v>
      </c>
      <c r="H22" s="147">
        <f>SUM(H23)</f>
        <v>0</v>
      </c>
    </row>
    <row r="23" spans="1:8" s="43" customFormat="1" ht="56.25" hidden="1">
      <c r="A23" s="120"/>
      <c r="B23" s="89"/>
      <c r="C23" s="134">
        <v>2010</v>
      </c>
      <c r="D23" s="68" t="s">
        <v>348</v>
      </c>
      <c r="E23" s="147">
        <v>5507000</v>
      </c>
      <c r="F23" s="148"/>
      <c r="G23" s="148">
        <v>5507000</v>
      </c>
      <c r="H23" s="204">
        <f>SUM(E23+F23-G23)</f>
        <v>0</v>
      </c>
    </row>
    <row r="24" spans="1:8" s="43" customFormat="1" ht="45">
      <c r="A24" s="120"/>
      <c r="B24" s="89">
        <v>85212</v>
      </c>
      <c r="C24" s="134"/>
      <c r="D24" s="132" t="s">
        <v>448</v>
      </c>
      <c r="E24" s="147">
        <f>SUM(E25)</f>
        <v>0</v>
      </c>
      <c r="F24" s="147">
        <f>SUM(F25)</f>
        <v>5507000</v>
      </c>
      <c r="G24" s="147">
        <f>SUM(G25)</f>
        <v>0</v>
      </c>
      <c r="H24" s="147">
        <f>SUM(H25)</f>
        <v>5507000</v>
      </c>
    </row>
    <row r="25" spans="1:8" s="43" customFormat="1" ht="56.25">
      <c r="A25" s="120"/>
      <c r="B25" s="89"/>
      <c r="C25" s="134">
        <v>2010</v>
      </c>
      <c r="D25" s="68" t="s">
        <v>348</v>
      </c>
      <c r="E25" s="147">
        <v>0</v>
      </c>
      <c r="F25" s="148">
        <v>5507000</v>
      </c>
      <c r="G25" s="148"/>
      <c r="H25" s="204">
        <f>SUM(E25+F25-G25)</f>
        <v>5507000</v>
      </c>
    </row>
    <row r="26" spans="1:8" s="43" customFormat="1" ht="45">
      <c r="A26" s="120"/>
      <c r="B26" s="142">
        <v>85213</v>
      </c>
      <c r="C26" s="121"/>
      <c r="D26" s="68" t="s">
        <v>274</v>
      </c>
      <c r="E26" s="147">
        <f>SUM(E27)</f>
        <v>74700</v>
      </c>
      <c r="F26" s="206">
        <f>SUM(F27)</f>
        <v>0</v>
      </c>
      <c r="G26" s="206">
        <f>SUM(G27)</f>
        <v>0</v>
      </c>
      <c r="H26" s="147">
        <f>SUM(H27)</f>
        <v>74700</v>
      </c>
    </row>
    <row r="27" spans="1:8" s="43" customFormat="1" ht="56.25">
      <c r="A27" s="120"/>
      <c r="B27" s="142"/>
      <c r="C27" s="121">
        <v>2010</v>
      </c>
      <c r="D27" s="68" t="s">
        <v>348</v>
      </c>
      <c r="E27" s="147">
        <v>74700</v>
      </c>
      <c r="F27" s="148"/>
      <c r="G27" s="148"/>
      <c r="H27" s="204">
        <f>SUM(E27+F27-G27)</f>
        <v>74700</v>
      </c>
    </row>
    <row r="28" spans="1:8" s="43" customFormat="1" ht="33" customHeight="1">
      <c r="A28" s="120"/>
      <c r="B28" s="120" t="s">
        <v>230</v>
      </c>
      <c r="C28" s="121"/>
      <c r="D28" s="68" t="s">
        <v>412</v>
      </c>
      <c r="E28" s="149">
        <f>SUM(E29:E30)</f>
        <v>1005400</v>
      </c>
      <c r="F28" s="150">
        <f>SUM(F29:F30)</f>
        <v>0</v>
      </c>
      <c r="G28" s="150">
        <f>SUM(G29:G30)</f>
        <v>0</v>
      </c>
      <c r="H28" s="149">
        <f>SUM(H29:H30)</f>
        <v>1005400</v>
      </c>
    </row>
    <row r="29" spans="1:8" s="43" customFormat="1" ht="56.25">
      <c r="A29" s="120"/>
      <c r="B29" s="120"/>
      <c r="C29" s="122" t="s">
        <v>258</v>
      </c>
      <c r="D29" s="68" t="s">
        <v>354</v>
      </c>
      <c r="E29" s="149">
        <v>569300</v>
      </c>
      <c r="F29" s="148"/>
      <c r="G29" s="148"/>
      <c r="H29" s="204">
        <f>SUM(E29+F29-G29)</f>
        <v>569300</v>
      </c>
    </row>
    <row r="30" spans="1:8" s="43" customFormat="1" ht="33.75">
      <c r="A30" s="120"/>
      <c r="B30" s="120"/>
      <c r="C30" s="122">
        <v>2030</v>
      </c>
      <c r="D30" s="132" t="s">
        <v>349</v>
      </c>
      <c r="E30" s="149">
        <v>436100</v>
      </c>
      <c r="F30" s="148"/>
      <c r="G30" s="148"/>
      <c r="H30" s="204">
        <f>SUM(E30+F30-G30)</f>
        <v>436100</v>
      </c>
    </row>
    <row r="31" spans="1:8" s="43" customFormat="1" ht="23.25" customHeight="1">
      <c r="A31" s="120"/>
      <c r="B31" s="120" t="s">
        <v>231</v>
      </c>
      <c r="C31" s="121"/>
      <c r="D31" s="68" t="s">
        <v>70</v>
      </c>
      <c r="E31" s="149">
        <f>E32</f>
        <v>312200</v>
      </c>
      <c r="F31" s="150">
        <f>F32</f>
        <v>0</v>
      </c>
      <c r="G31" s="150">
        <f>G32</f>
        <v>0</v>
      </c>
      <c r="H31" s="149">
        <f>H32</f>
        <v>312200</v>
      </c>
    </row>
    <row r="32" spans="1:8" s="43" customFormat="1" ht="45" customHeight="1">
      <c r="A32" s="120"/>
      <c r="B32" s="120"/>
      <c r="C32" s="122">
        <v>2030</v>
      </c>
      <c r="D32" s="132" t="s">
        <v>326</v>
      </c>
      <c r="E32" s="149">
        <v>312200</v>
      </c>
      <c r="F32" s="148"/>
      <c r="G32" s="148"/>
      <c r="H32" s="204">
        <f>SUM(E32+F32-G32)</f>
        <v>312200</v>
      </c>
    </row>
    <row r="33" spans="1:8" s="43" customFormat="1" ht="24" customHeight="1">
      <c r="A33" s="120"/>
      <c r="B33" s="120">
        <v>85295</v>
      </c>
      <c r="C33" s="122"/>
      <c r="D33" s="132" t="s">
        <v>6</v>
      </c>
      <c r="E33" s="149">
        <f>SUM(E34)</f>
        <v>141546</v>
      </c>
      <c r="F33" s="149">
        <f>SUM(F34)</f>
        <v>0</v>
      </c>
      <c r="G33" s="149">
        <f>SUM(G34)</f>
        <v>0</v>
      </c>
      <c r="H33" s="149">
        <f>SUM(H34)</f>
        <v>141546</v>
      </c>
    </row>
    <row r="34" spans="1:8" s="43" customFormat="1" ht="33.75">
      <c r="A34" s="120"/>
      <c r="B34" s="120"/>
      <c r="C34" s="122">
        <v>2030</v>
      </c>
      <c r="D34" s="132" t="s">
        <v>349</v>
      </c>
      <c r="E34" s="149">
        <v>141546</v>
      </c>
      <c r="F34" s="148"/>
      <c r="G34" s="148"/>
      <c r="H34" s="204">
        <f>E34+F34-G34</f>
        <v>141546</v>
      </c>
    </row>
    <row r="35" spans="1:8" s="9" customFormat="1" ht="32.25" customHeight="1">
      <c r="A35" s="63" t="s">
        <v>76</v>
      </c>
      <c r="B35" s="54"/>
      <c r="C35" s="105"/>
      <c r="D35" s="66" t="s">
        <v>167</v>
      </c>
      <c r="E35" s="116">
        <f>SUM(E36)</f>
        <v>45000</v>
      </c>
      <c r="F35" s="116">
        <f>SUM(F36)</f>
        <v>0</v>
      </c>
      <c r="G35" s="116">
        <f>SUM(G36)</f>
        <v>0</v>
      </c>
      <c r="H35" s="116">
        <f>SUM(H36)</f>
        <v>45000</v>
      </c>
    </row>
    <row r="36" spans="1:8" s="43" customFormat="1" ht="21.75" customHeight="1">
      <c r="A36" s="120"/>
      <c r="B36" s="120" t="s">
        <v>77</v>
      </c>
      <c r="C36" s="121"/>
      <c r="D36" s="68" t="s">
        <v>78</v>
      </c>
      <c r="E36" s="149">
        <f>E37</f>
        <v>45000</v>
      </c>
      <c r="F36" s="149">
        <f>F37</f>
        <v>0</v>
      </c>
      <c r="G36" s="149">
        <f>G37</f>
        <v>0</v>
      </c>
      <c r="H36" s="149">
        <f>H37</f>
        <v>45000</v>
      </c>
    </row>
    <row r="37" spans="1:8" s="43" customFormat="1" ht="45">
      <c r="A37" s="120"/>
      <c r="B37" s="120"/>
      <c r="C37" s="122">
        <v>2320</v>
      </c>
      <c r="D37" s="68" t="s">
        <v>350</v>
      </c>
      <c r="E37" s="149">
        <v>45000</v>
      </c>
      <c r="F37" s="148"/>
      <c r="G37" s="148"/>
      <c r="H37" s="204">
        <f>SUM(E37+F37-G37)</f>
        <v>45000</v>
      </c>
    </row>
    <row r="38" spans="1:8" s="43" customFormat="1" ht="25.5" customHeight="1">
      <c r="A38" s="222"/>
      <c r="B38" s="223"/>
      <c r="C38" s="224"/>
      <c r="D38" s="164" t="s">
        <v>81</v>
      </c>
      <c r="E38" s="179">
        <f>SUM(E35,E21,E18,E15,E12,E9,)</f>
        <v>7376486</v>
      </c>
      <c r="F38" s="179">
        <f>SUM(F35,F21,F18,F15,F12,F9,)</f>
        <v>5650240</v>
      </c>
      <c r="G38" s="179">
        <f>SUM(G35,G21,G18,G15,G12,G9,)</f>
        <v>5507100</v>
      </c>
      <c r="H38" s="179">
        <f>SUM(H35,H21,H18,H15,H12,H9,)</f>
        <v>7519626</v>
      </c>
    </row>
    <row r="39" spans="1:3" ht="12.75">
      <c r="A39" s="106"/>
      <c r="B39" s="106"/>
      <c r="C39" s="106"/>
    </row>
    <row r="41" ht="12.75">
      <c r="G41" s="91">
        <f>SUM(F38-G38)</f>
        <v>143140</v>
      </c>
    </row>
    <row r="42" ht="12.75">
      <c r="E42" s="185"/>
    </row>
  </sheetData>
  <mergeCells count="1">
    <mergeCell ref="A6:D6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&amp;C&amp;8Dotacje - str.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1">
      <selection activeCell="H62" sqref="A1:H62"/>
    </sheetView>
  </sheetViews>
  <sheetFormatPr defaultColWidth="9.00390625" defaultRowHeight="12.75"/>
  <cols>
    <col min="1" max="1" width="6.00390625" style="9" customWidth="1"/>
    <col min="2" max="2" width="7.25390625" style="9" bestFit="1" customWidth="1"/>
    <col min="3" max="3" width="4.375" style="9" bestFit="1" customWidth="1"/>
    <col min="4" max="4" width="31.625" style="9" customWidth="1"/>
    <col min="5" max="5" width="13.25390625" style="9" hidden="1" customWidth="1"/>
    <col min="6" max="6" width="11.375" style="0" hidden="1" customWidth="1"/>
    <col min="7" max="7" width="11.625" style="0" hidden="1" customWidth="1"/>
    <col min="8" max="8" width="18.75390625" style="0" customWidth="1"/>
  </cols>
  <sheetData>
    <row r="1" spans="5:8" ht="12.75">
      <c r="E1" s="107"/>
      <c r="F1" s="107"/>
      <c r="G1" s="107"/>
      <c r="H1" s="107"/>
    </row>
    <row r="2" spans="1:5" ht="24" customHeight="1">
      <c r="A2" s="408" t="s">
        <v>347</v>
      </c>
      <c r="B2" s="408"/>
      <c r="C2" s="408"/>
      <c r="D2" s="408"/>
      <c r="E2" s="219"/>
    </row>
    <row r="3" spans="1:5" ht="15" customHeight="1">
      <c r="A3" s="14"/>
      <c r="B3" s="14"/>
      <c r="C3" s="14"/>
      <c r="D3" s="62"/>
      <c r="E3" s="70"/>
    </row>
    <row r="4" spans="1:8" s="242" customFormat="1" ht="29.25" customHeight="1">
      <c r="A4" s="6" t="s">
        <v>0</v>
      </c>
      <c r="B4" s="6" t="s">
        <v>1</v>
      </c>
      <c r="C4" s="6" t="s">
        <v>2</v>
      </c>
      <c r="D4" s="6" t="s">
        <v>3</v>
      </c>
      <c r="E4" s="28" t="s">
        <v>165</v>
      </c>
      <c r="F4" s="6" t="s">
        <v>312</v>
      </c>
      <c r="G4" s="6" t="s">
        <v>305</v>
      </c>
      <c r="H4" s="202" t="s">
        <v>165</v>
      </c>
    </row>
    <row r="5" spans="1:8" ht="21.75" customHeight="1">
      <c r="A5" s="153" t="s">
        <v>293</v>
      </c>
      <c r="B5" s="154"/>
      <c r="C5" s="154"/>
      <c r="D5" s="154"/>
      <c r="E5" s="29">
        <f>SUM(E6,E25,E32,E48,E19)</f>
        <v>4748232</v>
      </c>
      <c r="F5" s="29">
        <f>SUM(F6,F25,F32,F48,F19)</f>
        <v>185850</v>
      </c>
      <c r="G5" s="29">
        <f>SUM(G6,G25,G32,G48,G19)</f>
        <v>0</v>
      </c>
      <c r="H5" s="29">
        <f>SUM(H6,H25,H32,H48,H19)</f>
        <v>4934082</v>
      </c>
    </row>
    <row r="6" spans="1:8" s="9" customFormat="1" ht="21.75" customHeight="1">
      <c r="A6" s="60">
        <v>801</v>
      </c>
      <c r="B6" s="6"/>
      <c r="C6" s="22"/>
      <c r="D6" s="36" t="s">
        <v>127</v>
      </c>
      <c r="E6" s="29">
        <f>SUM(E7,E10,E13,E16)</f>
        <v>2925242</v>
      </c>
      <c r="F6" s="29">
        <f>SUM(F7,F10,F13,F16)</f>
        <v>0</v>
      </c>
      <c r="G6" s="29">
        <f>SUM(G7,G10,G13,G16)</f>
        <v>0</v>
      </c>
      <c r="H6" s="29">
        <f>SUM(H7,H10,H13,H16)</f>
        <v>2925242</v>
      </c>
    </row>
    <row r="7" spans="1:8" s="9" customFormat="1" ht="21.75" customHeight="1">
      <c r="A7" s="3"/>
      <c r="B7" s="4">
        <v>80101</v>
      </c>
      <c r="C7" s="16"/>
      <c r="D7" s="17" t="s">
        <v>62</v>
      </c>
      <c r="E7" s="30">
        <f aca="true" t="shared" si="0" ref="E7:H8">SUM(E8)</f>
        <v>211428</v>
      </c>
      <c r="F7" s="30">
        <f t="shared" si="0"/>
        <v>0</v>
      </c>
      <c r="G7" s="30">
        <f t="shared" si="0"/>
        <v>0</v>
      </c>
      <c r="H7" s="30">
        <f t="shared" si="0"/>
        <v>211428</v>
      </c>
    </row>
    <row r="8" spans="1:8" s="241" customFormat="1" ht="22.5">
      <c r="A8" s="239"/>
      <c r="B8" s="240"/>
      <c r="C8" s="137">
        <v>2540</v>
      </c>
      <c r="D8" s="23" t="s">
        <v>269</v>
      </c>
      <c r="E8" s="141">
        <f>SUM(E9)</f>
        <v>211428</v>
      </c>
      <c r="F8" s="141">
        <f t="shared" si="0"/>
        <v>0</v>
      </c>
      <c r="G8" s="141">
        <f t="shared" si="0"/>
        <v>0</v>
      </c>
      <c r="H8" s="141">
        <v>211428</v>
      </c>
    </row>
    <row r="9" spans="1:8" s="20" customFormat="1" ht="21.75" customHeight="1">
      <c r="A9" s="409" t="s">
        <v>317</v>
      </c>
      <c r="B9" s="409"/>
      <c r="C9" s="409"/>
      <c r="D9" s="409"/>
      <c r="E9" s="245">
        <v>211428</v>
      </c>
      <c r="F9" s="148"/>
      <c r="G9" s="196"/>
      <c r="H9" s="182">
        <f>SUM(E9+F9-G9)</f>
        <v>211428</v>
      </c>
    </row>
    <row r="10" spans="1:8" s="9" customFormat="1" ht="27.75" customHeight="1">
      <c r="A10" s="60"/>
      <c r="B10" s="10">
        <v>80103</v>
      </c>
      <c r="C10" s="4"/>
      <c r="D10" s="17" t="s">
        <v>332</v>
      </c>
      <c r="E10" s="30">
        <f>SUM(E11)</f>
        <v>68080</v>
      </c>
      <c r="F10" s="30">
        <f>SUM(F11)</f>
        <v>0</v>
      </c>
      <c r="G10" s="30">
        <f>SUM(G11)</f>
        <v>0</v>
      </c>
      <c r="H10" s="30">
        <f>SUM(H11)</f>
        <v>68080</v>
      </c>
    </row>
    <row r="11" spans="1:8" s="43" customFormat="1" ht="24.75" customHeight="1">
      <c r="A11" s="137"/>
      <c r="B11" s="137"/>
      <c r="C11" s="137">
        <v>2540</v>
      </c>
      <c r="D11" s="23" t="s">
        <v>269</v>
      </c>
      <c r="E11" s="183">
        <f>E12</f>
        <v>68080</v>
      </c>
      <c r="F11" s="183">
        <f>SUM(F12)</f>
        <v>0</v>
      </c>
      <c r="G11" s="183">
        <f>SUM(G12)</f>
        <v>0</v>
      </c>
      <c r="H11" s="183">
        <f>SUM(H12)</f>
        <v>68080</v>
      </c>
    </row>
    <row r="12" spans="1:8" s="20" customFormat="1" ht="36.75" customHeight="1">
      <c r="A12" s="397" t="s">
        <v>297</v>
      </c>
      <c r="B12" s="398"/>
      <c r="C12" s="398"/>
      <c r="D12" s="399"/>
      <c r="E12" s="246">
        <v>68080</v>
      </c>
      <c r="F12" s="196"/>
      <c r="G12" s="182"/>
      <c r="H12" s="182">
        <f>SUM(E12+F12-G12)</f>
        <v>68080</v>
      </c>
    </row>
    <row r="13" spans="1:8" s="9" customFormat="1" ht="21.75" customHeight="1">
      <c r="A13" s="60"/>
      <c r="B13" s="10">
        <v>80104</v>
      </c>
      <c r="C13" s="4"/>
      <c r="D13" s="17" t="s">
        <v>142</v>
      </c>
      <c r="E13" s="30">
        <f aca="true" t="shared" si="1" ref="E13:H14">SUM(E14)</f>
        <v>2635055</v>
      </c>
      <c r="F13" s="30">
        <f t="shared" si="1"/>
        <v>0</v>
      </c>
      <c r="G13" s="30">
        <f t="shared" si="1"/>
        <v>0</v>
      </c>
      <c r="H13" s="30">
        <f t="shared" si="1"/>
        <v>2635055</v>
      </c>
    </row>
    <row r="14" spans="1:8" s="43" customFormat="1" ht="22.5">
      <c r="A14" s="163"/>
      <c r="B14" s="126"/>
      <c r="C14" s="89">
        <v>2510</v>
      </c>
      <c r="D14" s="23" t="s">
        <v>143</v>
      </c>
      <c r="E14" s="141">
        <f t="shared" si="1"/>
        <v>2635055</v>
      </c>
      <c r="F14" s="141">
        <f t="shared" si="1"/>
        <v>0</v>
      </c>
      <c r="G14" s="141">
        <f t="shared" si="1"/>
        <v>0</v>
      </c>
      <c r="H14" s="141">
        <f t="shared" si="1"/>
        <v>2635055</v>
      </c>
    </row>
    <row r="15" spans="1:8" s="20" customFormat="1" ht="21.75" customHeight="1">
      <c r="A15" s="409" t="s">
        <v>173</v>
      </c>
      <c r="B15" s="409"/>
      <c r="C15" s="409"/>
      <c r="D15" s="409"/>
      <c r="E15" s="225">
        <v>2635055</v>
      </c>
      <c r="F15" s="196"/>
      <c r="G15" s="182"/>
      <c r="H15" s="225">
        <v>2635055</v>
      </c>
    </row>
    <row r="16" spans="1:8" s="9" customFormat="1" ht="25.5" customHeight="1">
      <c r="A16" s="60"/>
      <c r="B16" s="3">
        <v>80146</v>
      </c>
      <c r="C16" s="4"/>
      <c r="D16" s="53" t="s">
        <v>196</v>
      </c>
      <c r="E16" s="162">
        <f aca="true" t="shared" si="2" ref="E16:H17">SUM(E17)</f>
        <v>10679</v>
      </c>
      <c r="F16" s="162">
        <f t="shared" si="2"/>
        <v>0</v>
      </c>
      <c r="G16" s="162">
        <f t="shared" si="2"/>
        <v>0</v>
      </c>
      <c r="H16" s="162">
        <f t="shared" si="2"/>
        <v>10679</v>
      </c>
    </row>
    <row r="17" spans="1:8" s="43" customFormat="1" ht="22.5">
      <c r="A17" s="163"/>
      <c r="B17" s="126"/>
      <c r="C17" s="89">
        <v>2510</v>
      </c>
      <c r="D17" s="23" t="s">
        <v>143</v>
      </c>
      <c r="E17" s="183">
        <v>10679</v>
      </c>
      <c r="F17" s="183">
        <f t="shared" si="2"/>
        <v>0</v>
      </c>
      <c r="G17" s="183">
        <f t="shared" si="2"/>
        <v>0</v>
      </c>
      <c r="H17" s="183">
        <v>10679</v>
      </c>
    </row>
    <row r="18" spans="1:8" s="20" customFormat="1" ht="21.75" customHeight="1">
      <c r="A18" s="409" t="s">
        <v>173</v>
      </c>
      <c r="B18" s="409"/>
      <c r="C18" s="409"/>
      <c r="D18" s="409"/>
      <c r="E18" s="245">
        <v>10679</v>
      </c>
      <c r="F18" s="196"/>
      <c r="G18" s="196"/>
      <c r="H18" s="182">
        <f>SUM(E18+F18-G18)</f>
        <v>10679</v>
      </c>
    </row>
    <row r="19" spans="1:8" s="72" customFormat="1" ht="21.75" customHeight="1">
      <c r="A19" s="21">
        <v>851</v>
      </c>
      <c r="B19" s="21"/>
      <c r="C19" s="21"/>
      <c r="D19" s="36" t="s">
        <v>64</v>
      </c>
      <c r="E19" s="260">
        <f>SUM(E20)</f>
        <v>0</v>
      </c>
      <c r="F19" s="260">
        <f>SUM(F20)</f>
        <v>43850</v>
      </c>
      <c r="G19" s="260">
        <f>SUM(G20)</f>
        <v>0</v>
      </c>
      <c r="H19" s="260">
        <f>SUM(H20)</f>
        <v>43850</v>
      </c>
    </row>
    <row r="20" spans="1:8" s="8" customFormat="1" ht="33.75">
      <c r="A20" s="137"/>
      <c r="B20" s="137"/>
      <c r="C20" s="137">
        <v>2630</v>
      </c>
      <c r="D20" s="374" t="s">
        <v>450</v>
      </c>
      <c r="E20" s="375">
        <f>SUM(E21:E24)</f>
        <v>0</v>
      </c>
      <c r="F20" s="375">
        <f>SUM(F21:F24)</f>
        <v>43850</v>
      </c>
      <c r="G20" s="375">
        <f>SUM(G21:G24)</f>
        <v>0</v>
      </c>
      <c r="H20" s="375">
        <f>SUM(H21:H24)</f>
        <v>43850</v>
      </c>
    </row>
    <row r="21" spans="1:8" s="287" customFormat="1" ht="21.75" customHeight="1">
      <c r="A21" s="397" t="s">
        <v>451</v>
      </c>
      <c r="B21" s="398"/>
      <c r="C21" s="398"/>
      <c r="D21" s="399"/>
      <c r="E21" s="245">
        <v>0</v>
      </c>
      <c r="F21" s="373">
        <f>27500+7000</f>
        <v>34500</v>
      </c>
      <c r="G21" s="373"/>
      <c r="H21" s="373">
        <f>F21-G21</f>
        <v>34500</v>
      </c>
    </row>
    <row r="22" spans="1:8" s="287" customFormat="1" ht="21.75" customHeight="1">
      <c r="A22" s="397" t="s">
        <v>452</v>
      </c>
      <c r="B22" s="398"/>
      <c r="C22" s="398"/>
      <c r="D22" s="399"/>
      <c r="E22" s="245">
        <v>0</v>
      </c>
      <c r="F22" s="373">
        <v>7350</v>
      </c>
      <c r="G22" s="373"/>
      <c r="H22" s="373">
        <f>F22-G22</f>
        <v>7350</v>
      </c>
    </row>
    <row r="23" spans="1:8" s="287" customFormat="1" ht="27" customHeight="1">
      <c r="A23" s="397" t="s">
        <v>453</v>
      </c>
      <c r="B23" s="398"/>
      <c r="C23" s="398"/>
      <c r="D23" s="399"/>
      <c r="E23" s="245">
        <v>0</v>
      </c>
      <c r="F23" s="373">
        <v>1000</v>
      </c>
      <c r="G23" s="373"/>
      <c r="H23" s="373">
        <f>F23-G23</f>
        <v>1000</v>
      </c>
    </row>
    <row r="24" spans="1:8" s="287" customFormat="1" ht="29.25" customHeight="1">
      <c r="A24" s="397" t="s">
        <v>454</v>
      </c>
      <c r="B24" s="398"/>
      <c r="C24" s="398"/>
      <c r="D24" s="399"/>
      <c r="E24" s="245">
        <v>0</v>
      </c>
      <c r="F24" s="373">
        <v>1000</v>
      </c>
      <c r="G24" s="373"/>
      <c r="H24" s="373">
        <f>F24-G24</f>
        <v>1000</v>
      </c>
    </row>
    <row r="25" spans="1:8" s="72" customFormat="1" ht="21.75" customHeight="1">
      <c r="A25" s="21">
        <v>854</v>
      </c>
      <c r="B25" s="21"/>
      <c r="C25" s="21"/>
      <c r="D25" s="21" t="s">
        <v>71</v>
      </c>
      <c r="E25" s="260">
        <f>E26+E29</f>
        <v>228650</v>
      </c>
      <c r="F25" s="260">
        <f>F26+F29</f>
        <v>0</v>
      </c>
      <c r="G25" s="260">
        <f>G26+G29</f>
        <v>0</v>
      </c>
      <c r="H25" s="260">
        <f>H26+H29</f>
        <v>228650</v>
      </c>
    </row>
    <row r="26" spans="1:8" s="9" customFormat="1" ht="21.75" customHeight="1">
      <c r="A26" s="191"/>
      <c r="B26" s="3">
        <v>85495</v>
      </c>
      <c r="C26" s="3"/>
      <c r="D26" s="17" t="s">
        <v>6</v>
      </c>
      <c r="E26" s="103">
        <f aca="true" t="shared" si="3" ref="E26:H27">SUM(E27)</f>
        <v>200000</v>
      </c>
      <c r="F26" s="103">
        <f t="shared" si="3"/>
        <v>0</v>
      </c>
      <c r="G26" s="103">
        <f t="shared" si="3"/>
        <v>0</v>
      </c>
      <c r="H26" s="103">
        <f t="shared" si="3"/>
        <v>200000</v>
      </c>
    </row>
    <row r="27" spans="1:8" s="43" customFormat="1" ht="45">
      <c r="A27" s="227"/>
      <c r="B27" s="126"/>
      <c r="C27" s="126">
        <v>2320</v>
      </c>
      <c r="D27" s="68" t="s">
        <v>202</v>
      </c>
      <c r="E27" s="238">
        <f t="shared" si="3"/>
        <v>200000</v>
      </c>
      <c r="F27" s="238">
        <f t="shared" si="3"/>
        <v>0</v>
      </c>
      <c r="G27" s="238">
        <f t="shared" si="3"/>
        <v>0</v>
      </c>
      <c r="H27" s="238">
        <f t="shared" si="3"/>
        <v>200000</v>
      </c>
    </row>
    <row r="28" spans="1:8" s="20" customFormat="1" ht="29.25" customHeight="1">
      <c r="A28" s="406" t="s">
        <v>174</v>
      </c>
      <c r="B28" s="406"/>
      <c r="C28" s="406"/>
      <c r="D28" s="406"/>
      <c r="E28" s="209">
        <v>200000</v>
      </c>
      <c r="F28" s="209"/>
      <c r="G28" s="209"/>
      <c r="H28" s="182">
        <f>SUM(E28+F28-G28)</f>
        <v>200000</v>
      </c>
    </row>
    <row r="29" spans="1:8" s="20" customFormat="1" ht="21.75" customHeight="1">
      <c r="A29" s="191"/>
      <c r="B29" s="3">
        <v>85495</v>
      </c>
      <c r="C29" s="3"/>
      <c r="D29" s="17" t="s">
        <v>6</v>
      </c>
      <c r="E29" s="103">
        <f aca="true" t="shared" si="4" ref="E29:H30">SUM(E30)</f>
        <v>28650</v>
      </c>
      <c r="F29" s="103">
        <f t="shared" si="4"/>
        <v>0</v>
      </c>
      <c r="G29" s="103">
        <f t="shared" si="4"/>
        <v>0</v>
      </c>
      <c r="H29" s="103">
        <f t="shared" si="4"/>
        <v>28650</v>
      </c>
    </row>
    <row r="30" spans="1:8" s="20" customFormat="1" ht="45">
      <c r="A30" s="227"/>
      <c r="B30" s="126"/>
      <c r="C30" s="126">
        <v>2320</v>
      </c>
      <c r="D30" s="68" t="s">
        <v>202</v>
      </c>
      <c r="E30" s="238">
        <f t="shared" si="4"/>
        <v>28650</v>
      </c>
      <c r="F30" s="238">
        <f t="shared" si="4"/>
        <v>0</v>
      </c>
      <c r="G30" s="238">
        <f t="shared" si="4"/>
        <v>0</v>
      </c>
      <c r="H30" s="238">
        <f t="shared" si="4"/>
        <v>28650</v>
      </c>
    </row>
    <row r="31" spans="1:8" s="20" customFormat="1" ht="21.75" customHeight="1">
      <c r="A31" s="406" t="s">
        <v>358</v>
      </c>
      <c r="B31" s="406"/>
      <c r="C31" s="406"/>
      <c r="D31" s="406"/>
      <c r="E31" s="210">
        <v>28650</v>
      </c>
      <c r="F31" s="167"/>
      <c r="G31" s="196"/>
      <c r="H31" s="182">
        <f>SUM(E31+F31-G31)</f>
        <v>28650</v>
      </c>
    </row>
    <row r="32" spans="1:8" s="9" customFormat="1" ht="27.75" customHeight="1">
      <c r="A32" s="60" t="s">
        <v>76</v>
      </c>
      <c r="B32" s="6"/>
      <c r="C32" s="38"/>
      <c r="D32" s="36" t="s">
        <v>159</v>
      </c>
      <c r="E32" s="29">
        <f>SUM(E33,E38,E40,E43)</f>
        <v>1594340</v>
      </c>
      <c r="F32" s="29">
        <f>SUM(F33,F38,F40,F43)</f>
        <v>0</v>
      </c>
      <c r="G32" s="29">
        <f>SUM(G33,G38,G40,G43)</f>
        <v>0</v>
      </c>
      <c r="H32" s="29">
        <f>SUM(H33,H38,H40,H43)</f>
        <v>1594340</v>
      </c>
    </row>
    <row r="33" spans="1:8" s="9" customFormat="1" ht="22.5" customHeight="1">
      <c r="A33" s="3"/>
      <c r="B33" s="3" t="s">
        <v>160</v>
      </c>
      <c r="C33" s="5"/>
      <c r="D33" s="17" t="s">
        <v>200</v>
      </c>
      <c r="E33" s="30">
        <f>SUM(E34)</f>
        <v>387940</v>
      </c>
      <c r="F33" s="30">
        <f>SUM(F34)</f>
        <v>0</v>
      </c>
      <c r="G33" s="30">
        <f>SUM(G34)</f>
        <v>0</v>
      </c>
      <c r="H33" s="30">
        <f>SUM(H34)</f>
        <v>387940</v>
      </c>
    </row>
    <row r="34" spans="1:8" s="43" customFormat="1" ht="24.75" customHeight="1">
      <c r="A34" s="126"/>
      <c r="B34" s="126"/>
      <c r="C34" s="89">
        <v>2480</v>
      </c>
      <c r="D34" s="23" t="s">
        <v>285</v>
      </c>
      <c r="E34" s="141">
        <v>387940</v>
      </c>
      <c r="F34" s="141">
        <f>SUM(F37)</f>
        <v>0</v>
      </c>
      <c r="G34" s="141">
        <f>SUM(G37)</f>
        <v>0</v>
      </c>
      <c r="H34" s="141">
        <v>387940</v>
      </c>
    </row>
    <row r="35" spans="1:8" s="9" customFormat="1" ht="24" customHeight="1" hidden="1">
      <c r="A35" s="3"/>
      <c r="B35" s="3" t="s">
        <v>160</v>
      </c>
      <c r="C35" s="5"/>
      <c r="D35" s="17" t="s">
        <v>328</v>
      </c>
      <c r="E35" s="162"/>
      <c r="F35" s="30"/>
      <c r="G35" s="30"/>
      <c r="H35" s="30">
        <f>SUM(H36)</f>
        <v>0</v>
      </c>
    </row>
    <row r="36" spans="1:8" s="43" customFormat="1" ht="29.25" customHeight="1" hidden="1">
      <c r="A36" s="126"/>
      <c r="B36" s="126"/>
      <c r="C36" s="89">
        <v>2480</v>
      </c>
      <c r="D36" s="23" t="s">
        <v>285</v>
      </c>
      <c r="E36" s="183"/>
      <c r="F36" s="141"/>
      <c r="G36" s="141"/>
      <c r="H36" s="141">
        <v>0</v>
      </c>
    </row>
    <row r="37" spans="1:8" s="20" customFormat="1" ht="21.75" customHeight="1">
      <c r="A37" s="406" t="s">
        <v>175</v>
      </c>
      <c r="B37" s="407"/>
      <c r="C37" s="407"/>
      <c r="D37" s="407"/>
      <c r="E37" s="210">
        <v>387940</v>
      </c>
      <c r="F37" s="247"/>
      <c r="G37" s="247"/>
      <c r="H37" s="182">
        <f>SUM(E37+F37-G37)</f>
        <v>387940</v>
      </c>
    </row>
    <row r="38" spans="1:8" s="9" customFormat="1" ht="21.75" customHeight="1">
      <c r="A38" s="3"/>
      <c r="B38" s="3" t="s">
        <v>77</v>
      </c>
      <c r="C38" s="5"/>
      <c r="D38" s="17" t="s">
        <v>78</v>
      </c>
      <c r="E38" s="30">
        <f>SUM(E39:E39)</f>
        <v>810480</v>
      </c>
      <c r="F38" s="30">
        <f>SUM(F39:F39)</f>
        <v>0</v>
      </c>
      <c r="G38" s="30">
        <f>SUM(G39:G39)</f>
        <v>0</v>
      </c>
      <c r="H38" s="30">
        <f>SUM(H39:H39)</f>
        <v>810480</v>
      </c>
    </row>
    <row r="39" spans="1:8" s="43" customFormat="1" ht="25.5" customHeight="1">
      <c r="A39" s="126"/>
      <c r="B39" s="126"/>
      <c r="C39" s="89">
        <v>2480</v>
      </c>
      <c r="D39" s="23" t="s">
        <v>285</v>
      </c>
      <c r="E39" s="141">
        <v>810480</v>
      </c>
      <c r="F39" s="155"/>
      <c r="G39" s="200"/>
      <c r="H39" s="148">
        <f>SUM(E39+F39-G39)</f>
        <v>810480</v>
      </c>
    </row>
    <row r="40" spans="1:8" s="9" customFormat="1" ht="21.75" customHeight="1">
      <c r="A40" s="3"/>
      <c r="B40" s="3" t="s">
        <v>77</v>
      </c>
      <c r="C40" s="5"/>
      <c r="D40" s="17" t="s">
        <v>286</v>
      </c>
      <c r="E40" s="162">
        <f>SUM(E41)</f>
        <v>45000</v>
      </c>
      <c r="F40" s="162">
        <f>SUM(F41)</f>
        <v>0</v>
      </c>
      <c r="G40" s="162">
        <f>SUM(G41)</f>
        <v>0</v>
      </c>
      <c r="H40" s="162">
        <f>SUM(H41)</f>
        <v>45000</v>
      </c>
    </row>
    <row r="41" spans="1:8" s="43" customFormat="1" ht="26.25" customHeight="1">
      <c r="A41" s="126"/>
      <c r="B41" s="126"/>
      <c r="C41" s="89">
        <v>2480</v>
      </c>
      <c r="D41" s="23" t="s">
        <v>285</v>
      </c>
      <c r="E41" s="183">
        <v>45000</v>
      </c>
      <c r="F41" s="200"/>
      <c r="G41" s="200"/>
      <c r="H41" s="148">
        <f>SUM(E41+F41-G41)</f>
        <v>45000</v>
      </c>
    </row>
    <row r="42" spans="1:8" s="152" customFormat="1" ht="30.75" customHeight="1">
      <c r="A42" s="404" t="s">
        <v>176</v>
      </c>
      <c r="B42" s="405"/>
      <c r="C42" s="405"/>
      <c r="D42" s="405"/>
      <c r="E42" s="210">
        <f>SUM(E38,E40,)</f>
        <v>855480</v>
      </c>
      <c r="F42" s="210">
        <f>SUM(F38,F40,)</f>
        <v>0</v>
      </c>
      <c r="G42" s="210">
        <f>SUM(G38,G40,)</f>
        <v>0</v>
      </c>
      <c r="H42" s="182">
        <f>SUM(E42+F42-G42)</f>
        <v>855480</v>
      </c>
    </row>
    <row r="43" spans="1:8" s="9" customFormat="1" ht="18.75" customHeight="1">
      <c r="A43" s="3"/>
      <c r="B43" s="3" t="s">
        <v>162</v>
      </c>
      <c r="C43" s="4"/>
      <c r="D43" s="17" t="s">
        <v>163</v>
      </c>
      <c r="E43" s="30">
        <f>E44</f>
        <v>350920</v>
      </c>
      <c r="F43" s="30">
        <f>F44</f>
        <v>0</v>
      </c>
      <c r="G43" s="30">
        <f>G44</f>
        <v>0</v>
      </c>
      <c r="H43" s="30">
        <f>H44</f>
        <v>350920</v>
      </c>
    </row>
    <row r="44" spans="1:8" s="43" customFormat="1" ht="22.5">
      <c r="A44" s="126"/>
      <c r="B44" s="126"/>
      <c r="C44" s="89">
        <v>2480</v>
      </c>
      <c r="D44" s="23" t="s">
        <v>285</v>
      </c>
      <c r="E44" s="141">
        <v>350920</v>
      </c>
      <c r="F44" s="141">
        <f>SUM(F47)</f>
        <v>0</v>
      </c>
      <c r="G44" s="141">
        <f>SUM(G47)</f>
        <v>0</v>
      </c>
      <c r="H44" s="141">
        <f>SUM(H47)</f>
        <v>350920</v>
      </c>
    </row>
    <row r="45" spans="1:8" s="9" customFormat="1" ht="19.5" customHeight="1" hidden="1">
      <c r="A45" s="3"/>
      <c r="B45" s="3" t="s">
        <v>162</v>
      </c>
      <c r="C45" s="4"/>
      <c r="D45" s="17" t="s">
        <v>327</v>
      </c>
      <c r="E45" s="30"/>
      <c r="F45" s="30"/>
      <c r="G45" s="30"/>
      <c r="H45" s="30">
        <f>SUM(H46)</f>
        <v>0</v>
      </c>
    </row>
    <row r="46" spans="1:8" s="43" customFormat="1" ht="24" customHeight="1" hidden="1">
      <c r="A46" s="126"/>
      <c r="B46" s="126"/>
      <c r="C46" s="89">
        <v>2480</v>
      </c>
      <c r="D46" s="23" t="s">
        <v>285</v>
      </c>
      <c r="E46" s="141"/>
      <c r="F46" s="141"/>
      <c r="G46" s="141"/>
      <c r="H46" s="141">
        <v>0</v>
      </c>
    </row>
    <row r="47" spans="1:8" s="152" customFormat="1" ht="24" customHeight="1">
      <c r="A47" s="401" t="s">
        <v>177</v>
      </c>
      <c r="B47" s="402"/>
      <c r="C47" s="402"/>
      <c r="D47" s="403"/>
      <c r="E47" s="210">
        <v>350920</v>
      </c>
      <c r="F47" s="248"/>
      <c r="G47" s="248"/>
      <c r="H47" s="182">
        <f>SUM(E47+F47-G47)</f>
        <v>350920</v>
      </c>
    </row>
    <row r="48" spans="1:8" s="72" customFormat="1" ht="24" customHeight="1">
      <c r="A48" s="21">
        <v>926</v>
      </c>
      <c r="B48" s="21"/>
      <c r="C48" s="21"/>
      <c r="D48" s="382" t="s">
        <v>79</v>
      </c>
      <c r="E48" s="379">
        <f>SUM(E49)</f>
        <v>0</v>
      </c>
      <c r="F48" s="379">
        <f aca="true" t="shared" si="5" ref="F48:H49">SUM(F49)</f>
        <v>142000</v>
      </c>
      <c r="G48" s="379">
        <f t="shared" si="5"/>
        <v>0</v>
      </c>
      <c r="H48" s="379">
        <f t="shared" si="5"/>
        <v>142000</v>
      </c>
    </row>
    <row r="49" spans="1:8" s="9" customFormat="1" ht="24" customHeight="1">
      <c r="A49" s="16"/>
      <c r="B49" s="16">
        <v>92605</v>
      </c>
      <c r="C49" s="16"/>
      <c r="D49" s="383" t="s">
        <v>80</v>
      </c>
      <c r="E49" s="381">
        <f>SUM(E50)</f>
        <v>0</v>
      </c>
      <c r="F49" s="381">
        <f t="shared" si="5"/>
        <v>142000</v>
      </c>
      <c r="G49" s="381">
        <f t="shared" si="5"/>
        <v>0</v>
      </c>
      <c r="H49" s="381">
        <f t="shared" si="5"/>
        <v>142000</v>
      </c>
    </row>
    <row r="50" spans="1:8" s="43" customFormat="1" ht="33.75">
      <c r="A50" s="137"/>
      <c r="B50" s="137"/>
      <c r="C50" s="137">
        <v>2630</v>
      </c>
      <c r="D50" s="23" t="s">
        <v>450</v>
      </c>
      <c r="E50" s="380">
        <f>SUM(E51:E61)</f>
        <v>0</v>
      </c>
      <c r="F50" s="380">
        <f>SUM(F51:F61)</f>
        <v>142000</v>
      </c>
      <c r="G50" s="380">
        <f>SUM(G51:G61)</f>
        <v>0</v>
      </c>
      <c r="H50" s="380">
        <f>SUM(H51:H61)</f>
        <v>142000</v>
      </c>
    </row>
    <row r="51" spans="1:8" s="152" customFormat="1" ht="19.5" customHeight="1">
      <c r="A51" s="401" t="s">
        <v>459</v>
      </c>
      <c r="B51" s="402"/>
      <c r="C51" s="402"/>
      <c r="D51" s="403"/>
      <c r="E51" s="210">
        <v>0</v>
      </c>
      <c r="F51" s="182">
        <v>66500</v>
      </c>
      <c r="G51" s="182"/>
      <c r="H51" s="182">
        <f>SUM(E51+F51-G51)</f>
        <v>66500</v>
      </c>
    </row>
    <row r="52" spans="1:8" s="152" customFormat="1" ht="19.5" customHeight="1">
      <c r="A52" s="401" t="s">
        <v>460</v>
      </c>
      <c r="B52" s="402"/>
      <c r="C52" s="402"/>
      <c r="D52" s="403"/>
      <c r="E52" s="210">
        <v>0</v>
      </c>
      <c r="F52" s="182">
        <v>45500</v>
      </c>
      <c r="G52" s="182"/>
      <c r="H52" s="182">
        <f aca="true" t="shared" si="6" ref="H52:H61">SUM(E52+F52-G52)</f>
        <v>45500</v>
      </c>
    </row>
    <row r="53" spans="1:8" s="152" customFormat="1" ht="19.5" customHeight="1">
      <c r="A53" s="401" t="s">
        <v>461</v>
      </c>
      <c r="B53" s="402"/>
      <c r="C53" s="402"/>
      <c r="D53" s="403"/>
      <c r="E53" s="210">
        <v>0</v>
      </c>
      <c r="F53" s="182">
        <v>3000</v>
      </c>
      <c r="G53" s="182"/>
      <c r="H53" s="182">
        <f t="shared" si="6"/>
        <v>3000</v>
      </c>
    </row>
    <row r="54" spans="1:8" s="152" customFormat="1" ht="19.5" customHeight="1">
      <c r="A54" s="401" t="s">
        <v>462</v>
      </c>
      <c r="B54" s="402"/>
      <c r="C54" s="402"/>
      <c r="D54" s="403"/>
      <c r="E54" s="210">
        <v>0</v>
      </c>
      <c r="F54" s="182">
        <v>2700</v>
      </c>
      <c r="G54" s="182"/>
      <c r="H54" s="182">
        <f t="shared" si="6"/>
        <v>2700</v>
      </c>
    </row>
    <row r="55" spans="1:8" s="152" customFormat="1" ht="19.5" customHeight="1">
      <c r="A55" s="401" t="s">
        <v>463</v>
      </c>
      <c r="B55" s="402"/>
      <c r="C55" s="402"/>
      <c r="D55" s="403"/>
      <c r="E55" s="210">
        <v>0</v>
      </c>
      <c r="F55" s="182">
        <v>4000</v>
      </c>
      <c r="G55" s="182"/>
      <c r="H55" s="182">
        <f t="shared" si="6"/>
        <v>4000</v>
      </c>
    </row>
    <row r="56" spans="1:8" s="152" customFormat="1" ht="19.5" customHeight="1">
      <c r="A56" s="401" t="s">
        <v>464</v>
      </c>
      <c r="B56" s="402"/>
      <c r="C56" s="402"/>
      <c r="D56" s="403"/>
      <c r="E56" s="210">
        <v>0</v>
      </c>
      <c r="F56" s="182">
        <v>4500</v>
      </c>
      <c r="G56" s="182"/>
      <c r="H56" s="182">
        <f t="shared" si="6"/>
        <v>4500</v>
      </c>
    </row>
    <row r="57" spans="1:8" s="152" customFormat="1" ht="19.5" customHeight="1">
      <c r="A57" s="401" t="s">
        <v>465</v>
      </c>
      <c r="B57" s="402"/>
      <c r="C57" s="402"/>
      <c r="D57" s="403"/>
      <c r="E57" s="210">
        <v>0</v>
      </c>
      <c r="F57" s="182">
        <v>5000</v>
      </c>
      <c r="G57" s="182"/>
      <c r="H57" s="182">
        <f t="shared" si="6"/>
        <v>5000</v>
      </c>
    </row>
    <row r="58" spans="1:8" s="152" customFormat="1" ht="19.5" customHeight="1">
      <c r="A58" s="401" t="s">
        <v>466</v>
      </c>
      <c r="B58" s="402"/>
      <c r="C58" s="402"/>
      <c r="D58" s="403"/>
      <c r="E58" s="210">
        <v>0</v>
      </c>
      <c r="F58" s="182">
        <v>7000</v>
      </c>
      <c r="G58" s="182"/>
      <c r="H58" s="182">
        <f t="shared" si="6"/>
        <v>7000</v>
      </c>
    </row>
    <row r="59" spans="1:8" s="152" customFormat="1" ht="19.5" customHeight="1">
      <c r="A59" s="401" t="s">
        <v>467</v>
      </c>
      <c r="B59" s="402"/>
      <c r="C59" s="402"/>
      <c r="D59" s="403"/>
      <c r="E59" s="210">
        <v>0</v>
      </c>
      <c r="F59" s="182">
        <v>2000</v>
      </c>
      <c r="G59" s="182"/>
      <c r="H59" s="182">
        <f t="shared" si="6"/>
        <v>2000</v>
      </c>
    </row>
    <row r="60" spans="1:8" s="152" customFormat="1" ht="19.5" customHeight="1">
      <c r="A60" s="401" t="s">
        <v>468</v>
      </c>
      <c r="B60" s="402"/>
      <c r="C60" s="402"/>
      <c r="D60" s="403"/>
      <c r="E60" s="210">
        <v>0</v>
      </c>
      <c r="F60" s="182">
        <v>1000</v>
      </c>
      <c r="G60" s="182"/>
      <c r="H60" s="182">
        <f t="shared" si="6"/>
        <v>1000</v>
      </c>
    </row>
    <row r="61" spans="1:8" s="152" customFormat="1" ht="19.5" customHeight="1">
      <c r="A61" s="401" t="s">
        <v>469</v>
      </c>
      <c r="B61" s="402"/>
      <c r="C61" s="402"/>
      <c r="D61" s="403"/>
      <c r="E61" s="210">
        <v>0</v>
      </c>
      <c r="F61" s="182">
        <v>800</v>
      </c>
      <c r="G61" s="182"/>
      <c r="H61" s="182">
        <f t="shared" si="6"/>
        <v>800</v>
      </c>
    </row>
    <row r="62" spans="1:8" s="201" customFormat="1" ht="21.75" customHeight="1">
      <c r="A62" s="400" t="s">
        <v>81</v>
      </c>
      <c r="B62" s="400"/>
      <c r="C62" s="400"/>
      <c r="D62" s="400"/>
      <c r="E62" s="74">
        <f>E6+E25+E32+E20+E48</f>
        <v>4748232</v>
      </c>
      <c r="F62" s="74">
        <f>F6+F25+F32+F20+F48</f>
        <v>185850</v>
      </c>
      <c r="G62" s="74">
        <f>G6+G25+G32+G20+G48</f>
        <v>0</v>
      </c>
      <c r="H62" s="74">
        <f>H6+H25+H32+H20+H48</f>
        <v>4934082</v>
      </c>
    </row>
    <row r="65" ht="12.75">
      <c r="E65" s="51"/>
    </row>
    <row r="95" ht="12.75">
      <c r="E95" s="51"/>
    </row>
    <row r="96" ht="12.75">
      <c r="E96" s="51"/>
    </row>
    <row r="97" ht="12.75">
      <c r="E97" s="51"/>
    </row>
    <row r="98" ht="12.75">
      <c r="E98" s="51"/>
    </row>
  </sheetData>
  <mergeCells count="26">
    <mergeCell ref="A60:D60"/>
    <mergeCell ref="A61:D61"/>
    <mergeCell ref="A56:D56"/>
    <mergeCell ref="A57:D57"/>
    <mergeCell ref="A58:D58"/>
    <mergeCell ref="A59:D59"/>
    <mergeCell ref="A2:D2"/>
    <mergeCell ref="A31:D31"/>
    <mergeCell ref="A15:D15"/>
    <mergeCell ref="A28:D28"/>
    <mergeCell ref="A9:D9"/>
    <mergeCell ref="A18:D18"/>
    <mergeCell ref="A12:D12"/>
    <mergeCell ref="A21:D21"/>
    <mergeCell ref="A22:D22"/>
    <mergeCell ref="A23:D23"/>
    <mergeCell ref="A24:D24"/>
    <mergeCell ref="A62:D62"/>
    <mergeCell ref="A47:D47"/>
    <mergeCell ref="A42:D42"/>
    <mergeCell ref="A37:D37"/>
    <mergeCell ref="A51:D51"/>
    <mergeCell ref="A52:D52"/>
    <mergeCell ref="A53:D53"/>
    <mergeCell ref="A54:D54"/>
    <mergeCell ref="A55:D55"/>
  </mergeCells>
  <printOptions horizontalCentered="1"/>
  <pageMargins left="0.5118110236220472" right="0.5118110236220472" top="0.7874015748031497" bottom="0.7874015748031497" header="0.5118110236220472" footer="0.31496062992125984"/>
  <pageSetup firstPageNumber="3" useFirstPageNumber="1" horizontalDpi="600" verticalDpi="600" orientation="portrait" paperSize="9" r:id="rId1"/>
  <headerFooter alignWithMargins="0">
    <oddFooter>&amp;C&amp;8Dotacje - str.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J73"/>
  <sheetViews>
    <sheetView workbookViewId="0" topLeftCell="A53">
      <selection activeCell="H1" sqref="A1:H55"/>
    </sheetView>
  </sheetViews>
  <sheetFormatPr defaultColWidth="9.00390625" defaultRowHeight="12.75"/>
  <cols>
    <col min="1" max="1" width="6.25390625" style="9" customWidth="1"/>
    <col min="2" max="2" width="7.25390625" style="9" bestFit="1" customWidth="1"/>
    <col min="3" max="3" width="5.75390625" style="9" customWidth="1"/>
    <col min="4" max="4" width="31.875" style="9" customWidth="1"/>
    <col min="5" max="5" width="13.125" style="0" hidden="1" customWidth="1"/>
    <col min="6" max="6" width="11.375" style="0" hidden="1" customWidth="1"/>
    <col min="7" max="7" width="11.625" style="0" hidden="1" customWidth="1"/>
    <col min="8" max="8" width="20.25390625" style="0" customWidth="1"/>
  </cols>
  <sheetData>
    <row r="1" spans="5:9" ht="12.75">
      <c r="E1" s="107"/>
      <c r="F1" s="107"/>
      <c r="G1" s="107"/>
      <c r="H1" s="107" t="s">
        <v>189</v>
      </c>
      <c r="I1" s="220"/>
    </row>
    <row r="2" spans="4:9" ht="12.75">
      <c r="D2" s="9" t="s">
        <v>342</v>
      </c>
      <c r="E2" s="107"/>
      <c r="F2" s="107"/>
      <c r="G2" s="107"/>
      <c r="H2" s="107" t="s">
        <v>474</v>
      </c>
      <c r="I2" s="220"/>
    </row>
    <row r="3" spans="4:9" ht="12.75">
      <c r="D3" s="9" t="s">
        <v>340</v>
      </c>
      <c r="E3" s="107"/>
      <c r="F3" s="107"/>
      <c r="G3" s="107"/>
      <c r="H3" s="107" t="s">
        <v>192</v>
      </c>
      <c r="I3" s="220"/>
    </row>
    <row r="4" spans="5:9" ht="12.75">
      <c r="E4" s="107"/>
      <c r="F4" s="107"/>
      <c r="G4" s="107"/>
      <c r="H4" s="107" t="s">
        <v>475</v>
      </c>
      <c r="I4" s="220"/>
    </row>
    <row r="5" ht="12.75">
      <c r="I5" s="220"/>
    </row>
    <row r="6" spans="1:9" ht="50.25" customHeight="1">
      <c r="A6" s="410" t="s">
        <v>418</v>
      </c>
      <c r="B6" s="410"/>
      <c r="C6" s="410"/>
      <c r="D6" s="410"/>
      <c r="I6" s="220"/>
    </row>
    <row r="7" spans="1:9" ht="14.25" customHeight="1">
      <c r="A7" s="73"/>
      <c r="B7" s="73"/>
      <c r="C7" s="73"/>
      <c r="D7" s="73"/>
      <c r="I7" s="220"/>
    </row>
    <row r="8" spans="1:9" s="9" customFormat="1" ht="24.75" customHeight="1">
      <c r="A8" s="21" t="s">
        <v>0</v>
      </c>
      <c r="B8" s="21" t="s">
        <v>1</v>
      </c>
      <c r="C8" s="21" t="s">
        <v>2</v>
      </c>
      <c r="D8" s="27" t="s">
        <v>3</v>
      </c>
      <c r="E8" s="202" t="s">
        <v>165</v>
      </c>
      <c r="F8" s="6" t="s">
        <v>312</v>
      </c>
      <c r="G8" s="6" t="s">
        <v>305</v>
      </c>
      <c r="H8" s="202" t="s">
        <v>168</v>
      </c>
      <c r="I8" s="106"/>
    </row>
    <row r="9" spans="1:9" s="43" customFormat="1" ht="24.75" customHeight="1">
      <c r="A9" s="60" t="s">
        <v>18</v>
      </c>
      <c r="B9" s="6"/>
      <c r="C9" s="38"/>
      <c r="D9" s="58" t="s">
        <v>19</v>
      </c>
      <c r="E9" s="74">
        <f>SUM(E10)</f>
        <v>144800</v>
      </c>
      <c r="F9" s="74">
        <f>SUM(F10)</f>
        <v>0</v>
      </c>
      <c r="G9" s="74">
        <f>SUM(G10)</f>
        <v>0</v>
      </c>
      <c r="H9" s="74">
        <f>SUM(H10)</f>
        <v>144800</v>
      </c>
      <c r="I9" s="226"/>
    </row>
    <row r="10" spans="1:9" s="43" customFormat="1" ht="24.75" customHeight="1">
      <c r="A10" s="126"/>
      <c r="B10" s="126">
        <v>75011</v>
      </c>
      <c r="C10" s="135"/>
      <c r="D10" s="132" t="s">
        <v>20</v>
      </c>
      <c r="E10" s="148">
        <f>SUM(E11:E15)</f>
        <v>144800</v>
      </c>
      <c r="F10" s="148">
        <f>SUM(F11:F15)</f>
        <v>0</v>
      </c>
      <c r="G10" s="148">
        <f>SUM(G11:G15)</f>
        <v>0</v>
      </c>
      <c r="H10" s="148">
        <f>SUM(H11:H15)</f>
        <v>144800</v>
      </c>
      <c r="I10" s="226"/>
    </row>
    <row r="11" spans="1:9" s="43" customFormat="1" ht="21.75" customHeight="1">
      <c r="A11" s="126"/>
      <c r="B11" s="89"/>
      <c r="C11" s="127">
        <v>4010</v>
      </c>
      <c r="D11" s="132" t="s">
        <v>98</v>
      </c>
      <c r="E11" s="148">
        <v>102150</v>
      </c>
      <c r="F11" s="148"/>
      <c r="G11" s="148"/>
      <c r="H11" s="148">
        <f>SUM(E11+F11-G11)</f>
        <v>102150</v>
      </c>
      <c r="I11" s="226"/>
    </row>
    <row r="12" spans="1:9" s="43" customFormat="1" ht="21.75" customHeight="1">
      <c r="A12" s="126"/>
      <c r="B12" s="89"/>
      <c r="C12" s="127">
        <v>4040</v>
      </c>
      <c r="D12" s="132" t="s">
        <v>99</v>
      </c>
      <c r="E12" s="148">
        <v>16000</v>
      </c>
      <c r="F12" s="148"/>
      <c r="G12" s="148"/>
      <c r="H12" s="148">
        <f>SUM(E12+F12-G12)</f>
        <v>16000</v>
      </c>
      <c r="I12" s="226"/>
    </row>
    <row r="13" spans="1:9" s="43" customFormat="1" ht="21.75" customHeight="1">
      <c r="A13" s="126"/>
      <c r="B13" s="89"/>
      <c r="C13" s="127">
        <v>4110</v>
      </c>
      <c r="D13" s="132" t="s">
        <v>100</v>
      </c>
      <c r="E13" s="148">
        <v>17500</v>
      </c>
      <c r="F13" s="148"/>
      <c r="G13" s="148"/>
      <c r="H13" s="148">
        <f>SUM(E13+F13-G13)</f>
        <v>17500</v>
      </c>
      <c r="I13" s="226"/>
    </row>
    <row r="14" spans="1:9" s="43" customFormat="1" ht="21.75" customHeight="1">
      <c r="A14" s="126"/>
      <c r="B14" s="89"/>
      <c r="C14" s="127">
        <v>4120</v>
      </c>
      <c r="D14" s="132" t="s">
        <v>101</v>
      </c>
      <c r="E14" s="148">
        <v>2500</v>
      </c>
      <c r="F14" s="148"/>
      <c r="G14" s="148"/>
      <c r="H14" s="148">
        <f>SUM(E14+F14-G14)</f>
        <v>2500</v>
      </c>
      <c r="I14" s="226"/>
    </row>
    <row r="15" spans="1:9" s="43" customFormat="1" ht="21.75" customHeight="1">
      <c r="A15" s="126"/>
      <c r="B15" s="89"/>
      <c r="C15" s="128">
        <v>4440</v>
      </c>
      <c r="D15" s="132" t="s">
        <v>102</v>
      </c>
      <c r="E15" s="148">
        <v>6650</v>
      </c>
      <c r="F15" s="148"/>
      <c r="G15" s="148"/>
      <c r="H15" s="148">
        <f>SUM(E15+F15-G15)</f>
        <v>6650</v>
      </c>
      <c r="I15" s="226"/>
    </row>
    <row r="16" spans="1:9" s="43" customFormat="1" ht="52.5" customHeight="1">
      <c r="A16" s="60">
        <v>751</v>
      </c>
      <c r="B16" s="6"/>
      <c r="C16" s="38"/>
      <c r="D16" s="58" t="s">
        <v>23</v>
      </c>
      <c r="E16" s="74">
        <f>E17</f>
        <v>3930</v>
      </c>
      <c r="F16" s="74">
        <f>F17</f>
        <v>0</v>
      </c>
      <c r="G16" s="74">
        <f>G17</f>
        <v>100</v>
      </c>
      <c r="H16" s="74">
        <f>H17</f>
        <v>3830</v>
      </c>
      <c r="I16" s="226"/>
    </row>
    <row r="17" spans="1:9" s="43" customFormat="1" ht="22.5">
      <c r="A17" s="89"/>
      <c r="B17" s="126">
        <v>75101</v>
      </c>
      <c r="C17" s="135"/>
      <c r="D17" s="132" t="s">
        <v>24</v>
      </c>
      <c r="E17" s="148">
        <f>SUM(E18:E19)</f>
        <v>3930</v>
      </c>
      <c r="F17" s="148">
        <f>SUM(F18:F19)</f>
        <v>0</v>
      </c>
      <c r="G17" s="148">
        <f>SUM(G18:G19)</f>
        <v>100</v>
      </c>
      <c r="H17" s="148">
        <f>SUM(H18:H19)</f>
        <v>3830</v>
      </c>
      <c r="I17" s="226"/>
    </row>
    <row r="18" spans="1:9" s="43" customFormat="1" ht="21.75" customHeight="1">
      <c r="A18" s="89"/>
      <c r="B18" s="126"/>
      <c r="C18" s="127">
        <v>4210</v>
      </c>
      <c r="D18" s="132" t="s">
        <v>106</v>
      </c>
      <c r="E18" s="148">
        <v>1930</v>
      </c>
      <c r="F18" s="148"/>
      <c r="G18" s="148">
        <v>100</v>
      </c>
      <c r="H18" s="148">
        <f>SUM(E18+F18-G18)</f>
        <v>1830</v>
      </c>
      <c r="I18" s="226"/>
    </row>
    <row r="19" spans="1:9" s="43" customFormat="1" ht="21.75" customHeight="1">
      <c r="A19" s="89"/>
      <c r="B19" s="126"/>
      <c r="C19" s="127">
        <v>4300</v>
      </c>
      <c r="D19" s="132" t="s">
        <v>93</v>
      </c>
      <c r="E19" s="148">
        <v>2000</v>
      </c>
      <c r="F19" s="148"/>
      <c r="G19" s="148"/>
      <c r="H19" s="148">
        <f>SUM(E19+F19-G19)</f>
        <v>2000</v>
      </c>
      <c r="I19" s="226"/>
    </row>
    <row r="20" spans="1:218" s="43" customFormat="1" ht="29.25" customHeight="1">
      <c r="A20" s="60" t="s">
        <v>25</v>
      </c>
      <c r="B20" s="6"/>
      <c r="C20" s="38"/>
      <c r="D20" s="58" t="s">
        <v>178</v>
      </c>
      <c r="E20" s="74">
        <f>SUM(E21)</f>
        <v>400</v>
      </c>
      <c r="F20" s="74">
        <f>SUM(F21)</f>
        <v>0</v>
      </c>
      <c r="G20" s="74">
        <f>SUM(G21)</f>
        <v>0</v>
      </c>
      <c r="H20" s="74">
        <f>SUM(H21)</f>
        <v>400</v>
      </c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/>
      <c r="BZ20" s="226"/>
      <c r="CA20" s="226"/>
      <c r="CB20" s="226"/>
      <c r="CC20" s="226"/>
      <c r="CD20" s="226"/>
      <c r="CE20" s="226"/>
      <c r="CF20" s="226"/>
      <c r="CG20" s="226"/>
      <c r="CH20" s="226"/>
      <c r="CI20" s="226"/>
      <c r="CJ20" s="226"/>
      <c r="CK20" s="226"/>
      <c r="CL20" s="226"/>
      <c r="CM20" s="226"/>
      <c r="CN20" s="226"/>
      <c r="CO20" s="226"/>
      <c r="CP20" s="226"/>
      <c r="CQ20" s="226"/>
      <c r="CR20" s="226"/>
      <c r="CS20" s="226"/>
      <c r="CT20" s="226"/>
      <c r="CU20" s="226"/>
      <c r="CV20" s="226"/>
      <c r="CW20" s="226"/>
      <c r="CX20" s="226"/>
      <c r="CY20" s="226"/>
      <c r="CZ20" s="226"/>
      <c r="DA20" s="226"/>
      <c r="DB20" s="226"/>
      <c r="DC20" s="226"/>
      <c r="DD20" s="226"/>
      <c r="DE20" s="226"/>
      <c r="DF20" s="226"/>
      <c r="DG20" s="226"/>
      <c r="DH20" s="226"/>
      <c r="DI20" s="226"/>
      <c r="DJ20" s="226"/>
      <c r="DK20" s="226"/>
      <c r="DL20" s="226"/>
      <c r="DM20" s="226"/>
      <c r="DN20" s="226"/>
      <c r="DO20" s="226"/>
      <c r="DP20" s="226"/>
      <c r="DQ20" s="226"/>
      <c r="DR20" s="226"/>
      <c r="DS20" s="226"/>
      <c r="DT20" s="226"/>
      <c r="DU20" s="226"/>
      <c r="DV20" s="226"/>
      <c r="DW20" s="226"/>
      <c r="DX20" s="226"/>
      <c r="DY20" s="226"/>
      <c r="DZ20" s="226"/>
      <c r="EA20" s="226"/>
      <c r="EB20" s="226"/>
      <c r="EC20" s="226"/>
      <c r="ED20" s="226"/>
      <c r="EE20" s="226"/>
      <c r="EF20" s="226"/>
      <c r="EG20" s="226"/>
      <c r="EH20" s="226"/>
      <c r="EI20" s="226"/>
      <c r="EJ20" s="226"/>
      <c r="EK20" s="226"/>
      <c r="EL20" s="226"/>
      <c r="EM20" s="226"/>
      <c r="EN20" s="226"/>
      <c r="EO20" s="226"/>
      <c r="EP20" s="226"/>
      <c r="EQ20" s="226"/>
      <c r="ER20" s="226"/>
      <c r="ES20" s="226"/>
      <c r="ET20" s="226"/>
      <c r="EU20" s="226"/>
      <c r="EV20" s="226"/>
      <c r="EW20" s="226"/>
      <c r="EX20" s="226"/>
      <c r="EY20" s="226"/>
      <c r="EZ20" s="226"/>
      <c r="FA20" s="226"/>
      <c r="FB20" s="226"/>
      <c r="FC20" s="226"/>
      <c r="FD20" s="226"/>
      <c r="FE20" s="226"/>
      <c r="FF20" s="226"/>
      <c r="FG20" s="226"/>
      <c r="FH20" s="226"/>
      <c r="FI20" s="226"/>
      <c r="FJ20" s="226"/>
      <c r="FK20" s="226"/>
      <c r="FL20" s="226"/>
      <c r="FM20" s="226"/>
      <c r="FN20" s="226"/>
      <c r="FO20" s="226"/>
      <c r="FP20" s="226"/>
      <c r="FQ20" s="226"/>
      <c r="FR20" s="226"/>
      <c r="FS20" s="226"/>
      <c r="FT20" s="226"/>
      <c r="FU20" s="226"/>
      <c r="FV20" s="226"/>
      <c r="FW20" s="226"/>
      <c r="FX20" s="226"/>
      <c r="FY20" s="226"/>
      <c r="FZ20" s="226"/>
      <c r="GA20" s="226"/>
      <c r="GB20" s="226"/>
      <c r="GC20" s="226"/>
      <c r="GD20" s="226"/>
      <c r="GE20" s="226"/>
      <c r="GF20" s="226"/>
      <c r="GG20" s="226"/>
      <c r="GH20" s="226"/>
      <c r="GI20" s="226"/>
      <c r="GJ20" s="226"/>
      <c r="GK20" s="226"/>
      <c r="GL20" s="226"/>
      <c r="GM20" s="226"/>
      <c r="GN20" s="226"/>
      <c r="GO20" s="226"/>
      <c r="GP20" s="226"/>
      <c r="GQ20" s="226"/>
      <c r="GR20" s="226"/>
      <c r="GS20" s="226"/>
      <c r="GT20" s="226"/>
      <c r="GU20" s="226"/>
      <c r="GV20" s="226"/>
      <c r="GW20" s="226"/>
      <c r="GX20" s="226"/>
      <c r="GY20" s="226"/>
      <c r="GZ20" s="226"/>
      <c r="HA20" s="226"/>
      <c r="HB20" s="226"/>
      <c r="HC20" s="226"/>
      <c r="HD20" s="226"/>
      <c r="HE20" s="226"/>
      <c r="HF20" s="226"/>
      <c r="HG20" s="226"/>
      <c r="HH20" s="226"/>
      <c r="HI20" s="226"/>
      <c r="HJ20" s="226"/>
    </row>
    <row r="21" spans="1:218" s="43" customFormat="1" ht="24.75" customHeight="1">
      <c r="A21" s="89"/>
      <c r="B21" s="126" t="s">
        <v>27</v>
      </c>
      <c r="C21" s="135"/>
      <c r="D21" s="132" t="s">
        <v>28</v>
      </c>
      <c r="E21" s="148">
        <f>SUM(E22:E22)</f>
        <v>400</v>
      </c>
      <c r="F21" s="148">
        <f>SUM(F22:F22)</f>
        <v>0</v>
      </c>
      <c r="G21" s="148">
        <f>SUM(G22:G22)</f>
        <v>0</v>
      </c>
      <c r="H21" s="148">
        <f>SUM(H22:H22)</f>
        <v>400</v>
      </c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226"/>
      <c r="CT21" s="226"/>
      <c r="CU21" s="226"/>
      <c r="CV21" s="226"/>
      <c r="CW21" s="226"/>
      <c r="CX21" s="226"/>
      <c r="CY21" s="226"/>
      <c r="CZ21" s="226"/>
      <c r="DA21" s="226"/>
      <c r="DB21" s="226"/>
      <c r="DC21" s="226"/>
      <c r="DD21" s="226"/>
      <c r="DE21" s="226"/>
      <c r="DF21" s="226"/>
      <c r="DG21" s="226"/>
      <c r="DH21" s="226"/>
      <c r="DI21" s="226"/>
      <c r="DJ21" s="226"/>
      <c r="DK21" s="226"/>
      <c r="DL21" s="226"/>
      <c r="DM21" s="226"/>
      <c r="DN21" s="226"/>
      <c r="DO21" s="226"/>
      <c r="DP21" s="226"/>
      <c r="DQ21" s="226"/>
      <c r="DR21" s="226"/>
      <c r="DS21" s="226"/>
      <c r="DT21" s="226"/>
      <c r="DU21" s="226"/>
      <c r="DV21" s="226"/>
      <c r="DW21" s="226"/>
      <c r="DX21" s="226"/>
      <c r="DY21" s="226"/>
      <c r="DZ21" s="226"/>
      <c r="EA21" s="226"/>
      <c r="EB21" s="226"/>
      <c r="EC21" s="226"/>
      <c r="ED21" s="226"/>
      <c r="EE21" s="226"/>
      <c r="EF21" s="226"/>
      <c r="EG21" s="226"/>
      <c r="EH21" s="226"/>
      <c r="EI21" s="226"/>
      <c r="EJ21" s="226"/>
      <c r="EK21" s="226"/>
      <c r="EL21" s="226"/>
      <c r="EM21" s="226"/>
      <c r="EN21" s="226"/>
      <c r="EO21" s="226"/>
      <c r="EP21" s="226"/>
      <c r="EQ21" s="226"/>
      <c r="ER21" s="226"/>
      <c r="ES21" s="226"/>
      <c r="ET21" s="226"/>
      <c r="EU21" s="226"/>
      <c r="EV21" s="226"/>
      <c r="EW21" s="226"/>
      <c r="EX21" s="226"/>
      <c r="EY21" s="226"/>
      <c r="EZ21" s="226"/>
      <c r="FA21" s="226"/>
      <c r="FB21" s="226"/>
      <c r="FC21" s="226"/>
      <c r="FD21" s="226"/>
      <c r="FE21" s="226"/>
      <c r="FF21" s="226"/>
      <c r="FG21" s="226"/>
      <c r="FH21" s="226"/>
      <c r="FI21" s="226"/>
      <c r="FJ21" s="226"/>
      <c r="FK21" s="226"/>
      <c r="FL21" s="226"/>
      <c r="FM21" s="226"/>
      <c r="FN21" s="226"/>
      <c r="FO21" s="226"/>
      <c r="FP21" s="226"/>
      <c r="FQ21" s="226"/>
      <c r="FR21" s="226"/>
      <c r="FS21" s="226"/>
      <c r="FT21" s="226"/>
      <c r="FU21" s="226"/>
      <c r="FV21" s="226"/>
      <c r="FW21" s="226"/>
      <c r="FX21" s="226"/>
      <c r="FY21" s="226"/>
      <c r="FZ21" s="226"/>
      <c r="GA21" s="226"/>
      <c r="GB21" s="226"/>
      <c r="GC21" s="226"/>
      <c r="GD21" s="226"/>
      <c r="GE21" s="226"/>
      <c r="GF21" s="226"/>
      <c r="GG21" s="226"/>
      <c r="GH21" s="226"/>
      <c r="GI21" s="226"/>
      <c r="GJ21" s="226"/>
      <c r="GK21" s="226"/>
      <c r="GL21" s="226"/>
      <c r="GM21" s="226"/>
      <c r="GN21" s="226"/>
      <c r="GO21" s="226"/>
      <c r="GP21" s="226"/>
      <c r="GQ21" s="226"/>
      <c r="GR21" s="226"/>
      <c r="GS21" s="226"/>
      <c r="GT21" s="226"/>
      <c r="GU21" s="226"/>
      <c r="GV21" s="226"/>
      <c r="GW21" s="226"/>
      <c r="GX21" s="226"/>
      <c r="GY21" s="226"/>
      <c r="GZ21" s="226"/>
      <c r="HA21" s="226"/>
      <c r="HB21" s="226"/>
      <c r="HC21" s="226"/>
      <c r="HD21" s="226"/>
      <c r="HE21" s="226"/>
      <c r="HF21" s="226"/>
      <c r="HG21" s="226"/>
      <c r="HH21" s="226"/>
      <c r="HI21" s="226"/>
      <c r="HJ21" s="226"/>
    </row>
    <row r="22" spans="1:218" s="43" customFormat="1" ht="21.75" customHeight="1">
      <c r="A22" s="89"/>
      <c r="B22" s="126"/>
      <c r="C22" s="127">
        <v>4300</v>
      </c>
      <c r="D22" s="132" t="s">
        <v>93</v>
      </c>
      <c r="E22" s="148">
        <v>400</v>
      </c>
      <c r="F22" s="148"/>
      <c r="G22" s="148"/>
      <c r="H22" s="148">
        <f>SUM(E22+F22-G22)</f>
        <v>400</v>
      </c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226"/>
      <c r="CE22" s="226"/>
      <c r="CF22" s="226"/>
      <c r="CG22" s="226"/>
      <c r="CH22" s="226"/>
      <c r="CI22" s="226"/>
      <c r="CJ22" s="226"/>
      <c r="CK22" s="226"/>
      <c r="CL22" s="226"/>
      <c r="CM22" s="226"/>
      <c r="CN22" s="226"/>
      <c r="CO22" s="226"/>
      <c r="CP22" s="226"/>
      <c r="CQ22" s="226"/>
      <c r="CR22" s="226"/>
      <c r="CS22" s="226"/>
      <c r="CT22" s="226"/>
      <c r="CU22" s="226"/>
      <c r="CV22" s="226"/>
      <c r="CW22" s="226"/>
      <c r="CX22" s="226"/>
      <c r="CY22" s="226"/>
      <c r="CZ22" s="226"/>
      <c r="DA22" s="226"/>
      <c r="DB22" s="226"/>
      <c r="DC22" s="226"/>
      <c r="DD22" s="226"/>
      <c r="DE22" s="226"/>
      <c r="DF22" s="226"/>
      <c r="DG22" s="226"/>
      <c r="DH22" s="226"/>
      <c r="DI22" s="226"/>
      <c r="DJ22" s="226"/>
      <c r="DK22" s="226"/>
      <c r="DL22" s="226"/>
      <c r="DM22" s="226"/>
      <c r="DN22" s="226"/>
      <c r="DO22" s="226"/>
      <c r="DP22" s="226"/>
      <c r="DQ22" s="226"/>
      <c r="DR22" s="226"/>
      <c r="DS22" s="226"/>
      <c r="DT22" s="226"/>
      <c r="DU22" s="226"/>
      <c r="DV22" s="226"/>
      <c r="DW22" s="226"/>
      <c r="DX22" s="226"/>
      <c r="DY22" s="226"/>
      <c r="DZ22" s="226"/>
      <c r="EA22" s="226"/>
      <c r="EB22" s="226"/>
      <c r="EC22" s="226"/>
      <c r="ED22" s="226"/>
      <c r="EE22" s="226"/>
      <c r="EF22" s="226"/>
      <c r="EG22" s="226"/>
      <c r="EH22" s="226"/>
      <c r="EI22" s="226"/>
      <c r="EJ22" s="226"/>
      <c r="EK22" s="226"/>
      <c r="EL22" s="226"/>
      <c r="EM22" s="226"/>
      <c r="EN22" s="226"/>
      <c r="EO22" s="226"/>
      <c r="EP22" s="226"/>
      <c r="EQ22" s="226"/>
      <c r="ER22" s="226"/>
      <c r="ES22" s="226"/>
      <c r="ET22" s="226"/>
      <c r="EU22" s="226"/>
      <c r="EV22" s="226"/>
      <c r="EW22" s="226"/>
      <c r="EX22" s="226"/>
      <c r="EY22" s="226"/>
      <c r="EZ22" s="226"/>
      <c r="FA22" s="226"/>
      <c r="FB22" s="226"/>
      <c r="FC22" s="226"/>
      <c r="FD22" s="226"/>
      <c r="FE22" s="226"/>
      <c r="FF22" s="226"/>
      <c r="FG22" s="226"/>
      <c r="FH22" s="226"/>
      <c r="FI22" s="226"/>
      <c r="FJ22" s="226"/>
      <c r="FK22" s="226"/>
      <c r="FL22" s="226"/>
      <c r="FM22" s="226"/>
      <c r="FN22" s="226"/>
      <c r="FO22" s="226"/>
      <c r="FP22" s="226"/>
      <c r="FQ22" s="226"/>
      <c r="FR22" s="226"/>
      <c r="FS22" s="226"/>
      <c r="FT22" s="226"/>
      <c r="FU22" s="226"/>
      <c r="FV22" s="226"/>
      <c r="FW22" s="226"/>
      <c r="FX22" s="226"/>
      <c r="FY22" s="226"/>
      <c r="FZ22" s="226"/>
      <c r="GA22" s="226"/>
      <c r="GB22" s="226"/>
      <c r="GC22" s="226"/>
      <c r="GD22" s="226"/>
      <c r="GE22" s="226"/>
      <c r="GF22" s="226"/>
      <c r="GG22" s="226"/>
      <c r="GH22" s="226"/>
      <c r="GI22" s="226"/>
      <c r="GJ22" s="226"/>
      <c r="GK22" s="226"/>
      <c r="GL22" s="226"/>
      <c r="GM22" s="226"/>
      <c r="GN22" s="226"/>
      <c r="GO22" s="226"/>
      <c r="GP22" s="226"/>
      <c r="GQ22" s="226"/>
      <c r="GR22" s="226"/>
      <c r="GS22" s="226"/>
      <c r="GT22" s="226"/>
      <c r="GU22" s="226"/>
      <c r="GV22" s="226"/>
      <c r="GW22" s="226"/>
      <c r="GX22" s="226"/>
      <c r="GY22" s="226"/>
      <c r="GZ22" s="226"/>
      <c r="HA22" s="226"/>
      <c r="HB22" s="226"/>
      <c r="HC22" s="226"/>
      <c r="HD22" s="226"/>
      <c r="HE22" s="226"/>
      <c r="HF22" s="226"/>
      <c r="HG22" s="226"/>
      <c r="HH22" s="226"/>
      <c r="HI22" s="226"/>
      <c r="HJ22" s="226"/>
    </row>
    <row r="23" spans="1:218" s="43" customFormat="1" ht="26.25" customHeight="1">
      <c r="A23" s="60">
        <v>852</v>
      </c>
      <c r="B23" s="6"/>
      <c r="C23" s="38"/>
      <c r="D23" s="58" t="s">
        <v>275</v>
      </c>
      <c r="E23" s="74">
        <f>SUM(E24,E50,E52,E37)</f>
        <v>6151000</v>
      </c>
      <c r="F23" s="74">
        <f>SUM(F24,F50,F52,F37)</f>
        <v>5507000</v>
      </c>
      <c r="G23" s="74">
        <f>SUM(G24,G50,G52,G37)</f>
        <v>5507000</v>
      </c>
      <c r="H23" s="74">
        <f>SUM(H24,H50,H52,H37)</f>
        <v>6151000</v>
      </c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226"/>
      <c r="CK23" s="226"/>
      <c r="CL23" s="226"/>
      <c r="CM23" s="226"/>
      <c r="CN23" s="226"/>
      <c r="CO23" s="226"/>
      <c r="CP23" s="226"/>
      <c r="CQ23" s="226"/>
      <c r="CR23" s="226"/>
      <c r="CS23" s="226"/>
      <c r="CT23" s="226"/>
      <c r="CU23" s="226"/>
      <c r="CV23" s="226"/>
      <c r="CW23" s="226"/>
      <c r="CX23" s="226"/>
      <c r="CY23" s="226"/>
      <c r="CZ23" s="226"/>
      <c r="DA23" s="226"/>
      <c r="DB23" s="226"/>
      <c r="DC23" s="226"/>
      <c r="DD23" s="226"/>
      <c r="DE23" s="226"/>
      <c r="DF23" s="226"/>
      <c r="DG23" s="226"/>
      <c r="DH23" s="226"/>
      <c r="DI23" s="226"/>
      <c r="DJ23" s="226"/>
      <c r="DK23" s="226"/>
      <c r="DL23" s="226"/>
      <c r="DM23" s="226"/>
      <c r="DN23" s="226"/>
      <c r="DO23" s="226"/>
      <c r="DP23" s="226"/>
      <c r="DQ23" s="226"/>
      <c r="DR23" s="226"/>
      <c r="DS23" s="226"/>
      <c r="DT23" s="226"/>
      <c r="DU23" s="226"/>
      <c r="DV23" s="226"/>
      <c r="DW23" s="226"/>
      <c r="DX23" s="226"/>
      <c r="DY23" s="226"/>
      <c r="DZ23" s="226"/>
      <c r="EA23" s="226"/>
      <c r="EB23" s="226"/>
      <c r="EC23" s="226"/>
      <c r="ED23" s="226"/>
      <c r="EE23" s="226"/>
      <c r="EF23" s="226"/>
      <c r="EG23" s="226"/>
      <c r="EH23" s="226"/>
      <c r="EI23" s="226"/>
      <c r="EJ23" s="226"/>
      <c r="EK23" s="226"/>
      <c r="EL23" s="226"/>
      <c r="EM23" s="226"/>
      <c r="EN23" s="226"/>
      <c r="EO23" s="226"/>
      <c r="EP23" s="226"/>
      <c r="EQ23" s="226"/>
      <c r="ER23" s="226"/>
      <c r="ES23" s="226"/>
      <c r="ET23" s="226"/>
      <c r="EU23" s="226"/>
      <c r="EV23" s="226"/>
      <c r="EW23" s="226"/>
      <c r="EX23" s="226"/>
      <c r="EY23" s="226"/>
      <c r="EZ23" s="226"/>
      <c r="FA23" s="226"/>
      <c r="FB23" s="226"/>
      <c r="FC23" s="226"/>
      <c r="FD23" s="226"/>
      <c r="FE23" s="226"/>
      <c r="FF23" s="226"/>
      <c r="FG23" s="226"/>
      <c r="FH23" s="226"/>
      <c r="FI23" s="226"/>
      <c r="FJ23" s="226"/>
      <c r="FK23" s="226"/>
      <c r="FL23" s="226"/>
      <c r="FM23" s="226"/>
      <c r="FN23" s="226"/>
      <c r="FO23" s="226"/>
      <c r="FP23" s="226"/>
      <c r="FQ23" s="226"/>
      <c r="FR23" s="226"/>
      <c r="FS23" s="226"/>
      <c r="FT23" s="226"/>
      <c r="FU23" s="226"/>
      <c r="FV23" s="226"/>
      <c r="FW23" s="226"/>
      <c r="FX23" s="226"/>
      <c r="FY23" s="226"/>
      <c r="FZ23" s="226"/>
      <c r="GA23" s="226"/>
      <c r="GB23" s="226"/>
      <c r="GC23" s="226"/>
      <c r="GD23" s="226"/>
      <c r="GE23" s="226"/>
      <c r="GF23" s="226"/>
      <c r="GG23" s="226"/>
      <c r="GH23" s="226"/>
      <c r="GI23" s="226"/>
      <c r="GJ23" s="226"/>
      <c r="GK23" s="226"/>
      <c r="GL23" s="226"/>
      <c r="GM23" s="226"/>
      <c r="GN23" s="226"/>
      <c r="GO23" s="226"/>
      <c r="GP23" s="226"/>
      <c r="GQ23" s="226"/>
      <c r="GR23" s="226"/>
      <c r="GS23" s="226"/>
      <c r="GT23" s="226"/>
      <c r="GU23" s="226"/>
      <c r="GV23" s="226"/>
      <c r="GW23" s="226"/>
      <c r="GX23" s="226"/>
      <c r="GY23" s="226"/>
      <c r="GZ23" s="226"/>
      <c r="HA23" s="226"/>
      <c r="HB23" s="226"/>
      <c r="HC23" s="226"/>
      <c r="HD23" s="226"/>
      <c r="HE23" s="226"/>
      <c r="HF23" s="226"/>
      <c r="HG23" s="226"/>
      <c r="HH23" s="226"/>
      <c r="HI23" s="226"/>
      <c r="HJ23" s="226"/>
    </row>
    <row r="24" spans="1:218" s="43" customFormat="1" ht="33.75" hidden="1">
      <c r="A24" s="163"/>
      <c r="B24" s="89">
        <v>85212</v>
      </c>
      <c r="C24" s="134"/>
      <c r="D24" s="132" t="s">
        <v>320</v>
      </c>
      <c r="E24" s="141">
        <f>SUM(E25:E36)</f>
        <v>5507000</v>
      </c>
      <c r="F24" s="141">
        <f>SUM(F25:F36)</f>
        <v>0</v>
      </c>
      <c r="G24" s="141">
        <f>SUM(G25:G36)</f>
        <v>5507000</v>
      </c>
      <c r="H24" s="141">
        <f>SUM(H25:H36)</f>
        <v>0</v>
      </c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6"/>
      <c r="BJ24" s="226"/>
      <c r="BK24" s="226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6"/>
      <c r="BY24" s="226"/>
      <c r="BZ24" s="226"/>
      <c r="CA24" s="226"/>
      <c r="CB24" s="226"/>
      <c r="CC24" s="226"/>
      <c r="CD24" s="226"/>
      <c r="CE24" s="226"/>
      <c r="CF24" s="226"/>
      <c r="CG24" s="226"/>
      <c r="CH24" s="226"/>
      <c r="CI24" s="226"/>
      <c r="CJ24" s="226"/>
      <c r="CK24" s="226"/>
      <c r="CL24" s="226"/>
      <c r="CM24" s="226"/>
      <c r="CN24" s="226"/>
      <c r="CO24" s="226"/>
      <c r="CP24" s="226"/>
      <c r="CQ24" s="226"/>
      <c r="CR24" s="226"/>
      <c r="CS24" s="226"/>
      <c r="CT24" s="226"/>
      <c r="CU24" s="226"/>
      <c r="CV24" s="226"/>
      <c r="CW24" s="226"/>
      <c r="CX24" s="226"/>
      <c r="CY24" s="226"/>
      <c r="CZ24" s="226"/>
      <c r="DA24" s="226"/>
      <c r="DB24" s="226"/>
      <c r="DC24" s="226"/>
      <c r="DD24" s="226"/>
      <c r="DE24" s="226"/>
      <c r="DF24" s="226"/>
      <c r="DG24" s="226"/>
      <c r="DH24" s="226"/>
      <c r="DI24" s="226"/>
      <c r="DJ24" s="226"/>
      <c r="DK24" s="226"/>
      <c r="DL24" s="226"/>
      <c r="DM24" s="226"/>
      <c r="DN24" s="226"/>
      <c r="DO24" s="226"/>
      <c r="DP24" s="226"/>
      <c r="DQ24" s="226"/>
      <c r="DR24" s="226"/>
      <c r="DS24" s="226"/>
      <c r="DT24" s="226"/>
      <c r="DU24" s="226"/>
      <c r="DV24" s="226"/>
      <c r="DW24" s="226"/>
      <c r="DX24" s="226"/>
      <c r="DY24" s="226"/>
      <c r="DZ24" s="226"/>
      <c r="EA24" s="226"/>
      <c r="EB24" s="226"/>
      <c r="EC24" s="226"/>
      <c r="ED24" s="226"/>
      <c r="EE24" s="226"/>
      <c r="EF24" s="226"/>
      <c r="EG24" s="226"/>
      <c r="EH24" s="226"/>
      <c r="EI24" s="226"/>
      <c r="EJ24" s="226"/>
      <c r="EK24" s="226"/>
      <c r="EL24" s="226"/>
      <c r="EM24" s="226"/>
      <c r="EN24" s="226"/>
      <c r="EO24" s="226"/>
      <c r="EP24" s="226"/>
      <c r="EQ24" s="226"/>
      <c r="ER24" s="226"/>
      <c r="ES24" s="226"/>
      <c r="ET24" s="226"/>
      <c r="EU24" s="226"/>
      <c r="EV24" s="226"/>
      <c r="EW24" s="226"/>
      <c r="EX24" s="226"/>
      <c r="EY24" s="226"/>
      <c r="EZ24" s="226"/>
      <c r="FA24" s="226"/>
      <c r="FB24" s="226"/>
      <c r="FC24" s="226"/>
      <c r="FD24" s="226"/>
      <c r="FE24" s="226"/>
      <c r="FF24" s="226"/>
      <c r="FG24" s="226"/>
      <c r="FH24" s="226"/>
      <c r="FI24" s="226"/>
      <c r="FJ24" s="226"/>
      <c r="FK24" s="226"/>
      <c r="FL24" s="226"/>
      <c r="FM24" s="226"/>
      <c r="FN24" s="226"/>
      <c r="FO24" s="226"/>
      <c r="FP24" s="226"/>
      <c r="FQ24" s="226"/>
      <c r="FR24" s="226"/>
      <c r="FS24" s="226"/>
      <c r="FT24" s="226"/>
      <c r="FU24" s="226"/>
      <c r="FV24" s="226"/>
      <c r="FW24" s="226"/>
      <c r="FX24" s="226"/>
      <c r="FY24" s="226"/>
      <c r="FZ24" s="226"/>
      <c r="GA24" s="226"/>
      <c r="GB24" s="226"/>
      <c r="GC24" s="226"/>
      <c r="GD24" s="226"/>
      <c r="GE24" s="226"/>
      <c r="GF24" s="226"/>
      <c r="GG24" s="226"/>
      <c r="GH24" s="226"/>
      <c r="GI24" s="226"/>
      <c r="GJ24" s="226"/>
      <c r="GK24" s="226"/>
      <c r="GL24" s="226"/>
      <c r="GM24" s="226"/>
      <c r="GN24" s="226"/>
      <c r="GO24" s="226"/>
      <c r="GP24" s="226"/>
      <c r="GQ24" s="226"/>
      <c r="GR24" s="226"/>
      <c r="GS24" s="226"/>
      <c r="GT24" s="226"/>
      <c r="GU24" s="226"/>
      <c r="GV24" s="226"/>
      <c r="GW24" s="226"/>
      <c r="GX24" s="226"/>
      <c r="GY24" s="226"/>
      <c r="GZ24" s="226"/>
      <c r="HA24" s="226"/>
      <c r="HB24" s="226"/>
      <c r="HC24" s="226"/>
      <c r="HD24" s="226"/>
      <c r="HE24" s="226"/>
      <c r="HF24" s="226"/>
      <c r="HG24" s="226"/>
      <c r="HH24" s="226"/>
      <c r="HI24" s="226"/>
      <c r="HJ24" s="226"/>
    </row>
    <row r="25" spans="1:218" s="43" customFormat="1" ht="22.5" hidden="1">
      <c r="A25" s="163"/>
      <c r="B25" s="89"/>
      <c r="C25" s="134">
        <v>3020</v>
      </c>
      <c r="D25" s="68" t="s">
        <v>343</v>
      </c>
      <c r="E25" s="148">
        <v>2000</v>
      </c>
      <c r="F25" s="148"/>
      <c r="G25" s="148">
        <v>2000</v>
      </c>
      <c r="H25" s="148">
        <f>SUM(E25+F25-G25)</f>
        <v>0</v>
      </c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26"/>
      <c r="CH25" s="226"/>
      <c r="CI25" s="226"/>
      <c r="CJ25" s="226"/>
      <c r="CK25" s="226"/>
      <c r="CL25" s="226"/>
      <c r="CM25" s="226"/>
      <c r="CN25" s="226"/>
      <c r="CO25" s="226"/>
      <c r="CP25" s="226"/>
      <c r="CQ25" s="226"/>
      <c r="CR25" s="226"/>
      <c r="CS25" s="226"/>
      <c r="CT25" s="226"/>
      <c r="CU25" s="226"/>
      <c r="CV25" s="226"/>
      <c r="CW25" s="226"/>
      <c r="CX25" s="226"/>
      <c r="CY25" s="226"/>
      <c r="CZ25" s="226"/>
      <c r="DA25" s="226"/>
      <c r="DB25" s="226"/>
      <c r="DC25" s="226"/>
      <c r="DD25" s="226"/>
      <c r="DE25" s="226"/>
      <c r="DF25" s="226"/>
      <c r="DG25" s="226"/>
      <c r="DH25" s="226"/>
      <c r="DI25" s="226"/>
      <c r="DJ25" s="226"/>
      <c r="DK25" s="226"/>
      <c r="DL25" s="226"/>
      <c r="DM25" s="226"/>
      <c r="DN25" s="226"/>
      <c r="DO25" s="226"/>
      <c r="DP25" s="226"/>
      <c r="DQ25" s="226"/>
      <c r="DR25" s="226"/>
      <c r="DS25" s="226"/>
      <c r="DT25" s="226"/>
      <c r="DU25" s="226"/>
      <c r="DV25" s="226"/>
      <c r="DW25" s="226"/>
      <c r="DX25" s="226"/>
      <c r="DY25" s="226"/>
      <c r="DZ25" s="226"/>
      <c r="EA25" s="226"/>
      <c r="EB25" s="226"/>
      <c r="EC25" s="226"/>
      <c r="ED25" s="226"/>
      <c r="EE25" s="226"/>
      <c r="EF25" s="226"/>
      <c r="EG25" s="226"/>
      <c r="EH25" s="226"/>
      <c r="EI25" s="226"/>
      <c r="EJ25" s="226"/>
      <c r="EK25" s="226"/>
      <c r="EL25" s="226"/>
      <c r="EM25" s="226"/>
      <c r="EN25" s="226"/>
      <c r="EO25" s="226"/>
      <c r="EP25" s="226"/>
      <c r="EQ25" s="226"/>
      <c r="ER25" s="226"/>
      <c r="ES25" s="226"/>
      <c r="ET25" s="226"/>
      <c r="EU25" s="226"/>
      <c r="EV25" s="226"/>
      <c r="EW25" s="226"/>
      <c r="EX25" s="226"/>
      <c r="EY25" s="226"/>
      <c r="EZ25" s="226"/>
      <c r="FA25" s="226"/>
      <c r="FB25" s="226"/>
      <c r="FC25" s="226"/>
      <c r="FD25" s="226"/>
      <c r="FE25" s="226"/>
      <c r="FF25" s="226"/>
      <c r="FG25" s="226"/>
      <c r="FH25" s="226"/>
      <c r="FI25" s="226"/>
      <c r="FJ25" s="226"/>
      <c r="FK25" s="226"/>
      <c r="FL25" s="226"/>
      <c r="FM25" s="226"/>
      <c r="FN25" s="226"/>
      <c r="FO25" s="226"/>
      <c r="FP25" s="226"/>
      <c r="FQ25" s="226"/>
      <c r="FR25" s="226"/>
      <c r="FS25" s="226"/>
      <c r="FT25" s="226"/>
      <c r="FU25" s="226"/>
      <c r="FV25" s="226"/>
      <c r="FW25" s="226"/>
      <c r="FX25" s="226"/>
      <c r="FY25" s="226"/>
      <c r="FZ25" s="226"/>
      <c r="GA25" s="226"/>
      <c r="GB25" s="226"/>
      <c r="GC25" s="226"/>
      <c r="GD25" s="226"/>
      <c r="GE25" s="226"/>
      <c r="GF25" s="226"/>
      <c r="GG25" s="226"/>
      <c r="GH25" s="226"/>
      <c r="GI25" s="226"/>
      <c r="GJ25" s="226"/>
      <c r="GK25" s="226"/>
      <c r="GL25" s="226"/>
      <c r="GM25" s="226"/>
      <c r="GN25" s="226"/>
      <c r="GO25" s="226"/>
      <c r="GP25" s="226"/>
      <c r="GQ25" s="226"/>
      <c r="GR25" s="226"/>
      <c r="GS25" s="226"/>
      <c r="GT25" s="226"/>
      <c r="GU25" s="226"/>
      <c r="GV25" s="226"/>
      <c r="GW25" s="226"/>
      <c r="GX25" s="226"/>
      <c r="GY25" s="226"/>
      <c r="GZ25" s="226"/>
      <c r="HA25" s="226"/>
      <c r="HB25" s="226"/>
      <c r="HC25" s="226"/>
      <c r="HD25" s="226"/>
      <c r="HE25" s="226"/>
      <c r="HF25" s="226"/>
      <c r="HG25" s="226"/>
      <c r="HH25" s="226"/>
      <c r="HI25" s="226"/>
      <c r="HJ25" s="226"/>
    </row>
    <row r="26" spans="1:218" s="43" customFormat="1" ht="11.25" hidden="1">
      <c r="A26" s="163"/>
      <c r="B26" s="89"/>
      <c r="C26" s="134">
        <v>3110</v>
      </c>
      <c r="D26" s="132" t="s">
        <v>129</v>
      </c>
      <c r="E26" s="148">
        <f>5346602-4812-23800</f>
        <v>5317990</v>
      </c>
      <c r="F26" s="148"/>
      <c r="G26" s="148">
        <f>5346602-4812-23800</f>
        <v>5317990</v>
      </c>
      <c r="H26" s="148">
        <f aca="true" t="shared" si="0" ref="H26:H49">SUM(E26+F26-G26)</f>
        <v>0</v>
      </c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26"/>
      <c r="BR26" s="226"/>
      <c r="BS26" s="226"/>
      <c r="BT26" s="226"/>
      <c r="BU26" s="226"/>
      <c r="BV26" s="226"/>
      <c r="BW26" s="226"/>
      <c r="BX26" s="226"/>
      <c r="BY26" s="226"/>
      <c r="BZ26" s="226"/>
      <c r="CA26" s="226"/>
      <c r="CB26" s="226"/>
      <c r="CC26" s="226"/>
      <c r="CD26" s="226"/>
      <c r="CE26" s="226"/>
      <c r="CF26" s="226"/>
      <c r="CG26" s="226"/>
      <c r="CH26" s="226"/>
      <c r="CI26" s="226"/>
      <c r="CJ26" s="226"/>
      <c r="CK26" s="226"/>
      <c r="CL26" s="226"/>
      <c r="CM26" s="226"/>
      <c r="CN26" s="226"/>
      <c r="CO26" s="226"/>
      <c r="CP26" s="226"/>
      <c r="CQ26" s="226"/>
      <c r="CR26" s="226"/>
      <c r="CS26" s="226"/>
      <c r="CT26" s="226"/>
      <c r="CU26" s="226"/>
      <c r="CV26" s="226"/>
      <c r="CW26" s="226"/>
      <c r="CX26" s="226"/>
      <c r="CY26" s="226"/>
      <c r="CZ26" s="226"/>
      <c r="DA26" s="226"/>
      <c r="DB26" s="226"/>
      <c r="DC26" s="226"/>
      <c r="DD26" s="226"/>
      <c r="DE26" s="226"/>
      <c r="DF26" s="226"/>
      <c r="DG26" s="226"/>
      <c r="DH26" s="226"/>
      <c r="DI26" s="226"/>
      <c r="DJ26" s="226"/>
      <c r="DK26" s="226"/>
      <c r="DL26" s="226"/>
      <c r="DM26" s="226"/>
      <c r="DN26" s="226"/>
      <c r="DO26" s="226"/>
      <c r="DP26" s="226"/>
      <c r="DQ26" s="226"/>
      <c r="DR26" s="226"/>
      <c r="DS26" s="226"/>
      <c r="DT26" s="226"/>
      <c r="DU26" s="226"/>
      <c r="DV26" s="226"/>
      <c r="DW26" s="226"/>
      <c r="DX26" s="226"/>
      <c r="DY26" s="226"/>
      <c r="DZ26" s="226"/>
      <c r="EA26" s="226"/>
      <c r="EB26" s="226"/>
      <c r="EC26" s="226"/>
      <c r="ED26" s="226"/>
      <c r="EE26" s="226"/>
      <c r="EF26" s="226"/>
      <c r="EG26" s="226"/>
      <c r="EH26" s="226"/>
      <c r="EI26" s="226"/>
      <c r="EJ26" s="226"/>
      <c r="EK26" s="226"/>
      <c r="EL26" s="226"/>
      <c r="EM26" s="226"/>
      <c r="EN26" s="226"/>
      <c r="EO26" s="226"/>
      <c r="EP26" s="226"/>
      <c r="EQ26" s="226"/>
      <c r="ER26" s="226"/>
      <c r="ES26" s="226"/>
      <c r="ET26" s="226"/>
      <c r="EU26" s="226"/>
      <c r="EV26" s="226"/>
      <c r="EW26" s="226"/>
      <c r="EX26" s="226"/>
      <c r="EY26" s="226"/>
      <c r="EZ26" s="226"/>
      <c r="FA26" s="226"/>
      <c r="FB26" s="226"/>
      <c r="FC26" s="226"/>
      <c r="FD26" s="226"/>
      <c r="FE26" s="226"/>
      <c r="FF26" s="226"/>
      <c r="FG26" s="226"/>
      <c r="FH26" s="226"/>
      <c r="FI26" s="226"/>
      <c r="FJ26" s="226"/>
      <c r="FK26" s="226"/>
      <c r="FL26" s="226"/>
      <c r="FM26" s="226"/>
      <c r="FN26" s="226"/>
      <c r="FO26" s="226"/>
      <c r="FP26" s="226"/>
      <c r="FQ26" s="226"/>
      <c r="FR26" s="226"/>
      <c r="FS26" s="226"/>
      <c r="FT26" s="226"/>
      <c r="FU26" s="226"/>
      <c r="FV26" s="226"/>
      <c r="FW26" s="226"/>
      <c r="FX26" s="226"/>
      <c r="FY26" s="226"/>
      <c r="FZ26" s="226"/>
      <c r="GA26" s="226"/>
      <c r="GB26" s="226"/>
      <c r="GC26" s="226"/>
      <c r="GD26" s="226"/>
      <c r="GE26" s="226"/>
      <c r="GF26" s="226"/>
      <c r="GG26" s="226"/>
      <c r="GH26" s="226"/>
      <c r="GI26" s="226"/>
      <c r="GJ26" s="226"/>
      <c r="GK26" s="226"/>
      <c r="GL26" s="226"/>
      <c r="GM26" s="226"/>
      <c r="GN26" s="226"/>
      <c r="GO26" s="226"/>
      <c r="GP26" s="226"/>
      <c r="GQ26" s="226"/>
      <c r="GR26" s="226"/>
      <c r="GS26" s="226"/>
      <c r="GT26" s="226"/>
      <c r="GU26" s="226"/>
      <c r="GV26" s="226"/>
      <c r="GW26" s="226"/>
      <c r="GX26" s="226"/>
      <c r="GY26" s="226"/>
      <c r="GZ26" s="226"/>
      <c r="HA26" s="226"/>
      <c r="HB26" s="226"/>
      <c r="HC26" s="226"/>
      <c r="HD26" s="226"/>
      <c r="HE26" s="226"/>
      <c r="HF26" s="226"/>
      <c r="HG26" s="226"/>
      <c r="HH26" s="226"/>
      <c r="HI26" s="226"/>
      <c r="HJ26" s="226"/>
    </row>
    <row r="27" spans="1:218" s="43" customFormat="1" ht="11.25" hidden="1">
      <c r="A27" s="163"/>
      <c r="B27" s="89"/>
      <c r="C27" s="89">
        <v>4010</v>
      </c>
      <c r="D27" s="23" t="s">
        <v>98</v>
      </c>
      <c r="E27" s="148">
        <v>86691</v>
      </c>
      <c r="F27" s="148"/>
      <c r="G27" s="148">
        <v>86691</v>
      </c>
      <c r="H27" s="148">
        <f t="shared" si="0"/>
        <v>0</v>
      </c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/>
      <c r="BQ27" s="226"/>
      <c r="BR27" s="226"/>
      <c r="BS27" s="226"/>
      <c r="BT27" s="226"/>
      <c r="BU27" s="226"/>
      <c r="BV27" s="226"/>
      <c r="BW27" s="226"/>
      <c r="BX27" s="226"/>
      <c r="BY27" s="226"/>
      <c r="BZ27" s="226"/>
      <c r="CA27" s="226"/>
      <c r="CB27" s="226"/>
      <c r="CC27" s="226"/>
      <c r="CD27" s="226"/>
      <c r="CE27" s="226"/>
      <c r="CF27" s="226"/>
      <c r="CG27" s="226"/>
      <c r="CH27" s="226"/>
      <c r="CI27" s="226"/>
      <c r="CJ27" s="226"/>
      <c r="CK27" s="226"/>
      <c r="CL27" s="226"/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6"/>
      <c r="DE27" s="226"/>
      <c r="DF27" s="226"/>
      <c r="DG27" s="226"/>
      <c r="DH27" s="226"/>
      <c r="DI27" s="226"/>
      <c r="DJ27" s="226"/>
      <c r="DK27" s="226"/>
      <c r="DL27" s="226"/>
      <c r="DM27" s="226"/>
      <c r="DN27" s="226"/>
      <c r="DO27" s="226"/>
      <c r="DP27" s="226"/>
      <c r="DQ27" s="226"/>
      <c r="DR27" s="226"/>
      <c r="DS27" s="226"/>
      <c r="DT27" s="226"/>
      <c r="DU27" s="226"/>
      <c r="DV27" s="226"/>
      <c r="DW27" s="226"/>
      <c r="DX27" s="226"/>
      <c r="DY27" s="226"/>
      <c r="DZ27" s="226"/>
      <c r="EA27" s="226"/>
      <c r="EB27" s="226"/>
      <c r="EC27" s="226"/>
      <c r="ED27" s="226"/>
      <c r="EE27" s="226"/>
      <c r="EF27" s="226"/>
      <c r="EG27" s="226"/>
      <c r="EH27" s="226"/>
      <c r="EI27" s="226"/>
      <c r="EJ27" s="226"/>
      <c r="EK27" s="226"/>
      <c r="EL27" s="226"/>
      <c r="EM27" s="226"/>
      <c r="EN27" s="226"/>
      <c r="EO27" s="226"/>
      <c r="EP27" s="226"/>
      <c r="EQ27" s="226"/>
      <c r="ER27" s="226"/>
      <c r="ES27" s="226"/>
      <c r="ET27" s="226"/>
      <c r="EU27" s="226"/>
      <c r="EV27" s="226"/>
      <c r="EW27" s="226"/>
      <c r="EX27" s="226"/>
      <c r="EY27" s="226"/>
      <c r="EZ27" s="226"/>
      <c r="FA27" s="226"/>
      <c r="FB27" s="226"/>
      <c r="FC27" s="226"/>
      <c r="FD27" s="226"/>
      <c r="FE27" s="226"/>
      <c r="FF27" s="226"/>
      <c r="FG27" s="226"/>
      <c r="FH27" s="226"/>
      <c r="FI27" s="226"/>
      <c r="FJ27" s="226"/>
      <c r="FK27" s="226"/>
      <c r="FL27" s="226"/>
      <c r="FM27" s="226"/>
      <c r="FN27" s="226"/>
      <c r="FO27" s="226"/>
      <c r="FP27" s="226"/>
      <c r="FQ27" s="226"/>
      <c r="FR27" s="226"/>
      <c r="FS27" s="226"/>
      <c r="FT27" s="226"/>
      <c r="FU27" s="226"/>
      <c r="FV27" s="226"/>
      <c r="FW27" s="226"/>
      <c r="FX27" s="226"/>
      <c r="FY27" s="226"/>
      <c r="FZ27" s="226"/>
      <c r="GA27" s="226"/>
      <c r="GB27" s="226"/>
      <c r="GC27" s="226"/>
      <c r="GD27" s="226"/>
      <c r="GE27" s="226"/>
      <c r="GF27" s="226"/>
      <c r="GG27" s="226"/>
      <c r="GH27" s="226"/>
      <c r="GI27" s="226"/>
      <c r="GJ27" s="226"/>
      <c r="GK27" s="226"/>
      <c r="GL27" s="226"/>
      <c r="GM27" s="226"/>
      <c r="GN27" s="226"/>
      <c r="GO27" s="226"/>
      <c r="GP27" s="226"/>
      <c r="GQ27" s="226"/>
      <c r="GR27" s="226"/>
      <c r="GS27" s="226"/>
      <c r="GT27" s="226"/>
      <c r="GU27" s="226"/>
      <c r="GV27" s="226"/>
      <c r="GW27" s="226"/>
      <c r="GX27" s="226"/>
      <c r="GY27" s="226"/>
      <c r="GZ27" s="226"/>
      <c r="HA27" s="226"/>
      <c r="HB27" s="226"/>
      <c r="HC27" s="226"/>
      <c r="HD27" s="226"/>
      <c r="HE27" s="226"/>
      <c r="HF27" s="226"/>
      <c r="HG27" s="226"/>
      <c r="HH27" s="226"/>
      <c r="HI27" s="226"/>
      <c r="HJ27" s="226"/>
    </row>
    <row r="28" spans="1:218" s="43" customFormat="1" ht="11.25" hidden="1">
      <c r="A28" s="163"/>
      <c r="B28" s="89"/>
      <c r="C28" s="89">
        <v>4040</v>
      </c>
      <c r="D28" s="23" t="s">
        <v>99</v>
      </c>
      <c r="E28" s="148">
        <v>7500</v>
      </c>
      <c r="F28" s="148"/>
      <c r="G28" s="148">
        <v>7500</v>
      </c>
      <c r="H28" s="148">
        <f t="shared" si="0"/>
        <v>0</v>
      </c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6"/>
      <c r="BY28" s="226"/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226"/>
      <c r="CK28" s="226"/>
      <c r="CL28" s="226"/>
      <c r="CM28" s="226"/>
      <c r="CN28" s="226"/>
      <c r="CO28" s="226"/>
      <c r="CP28" s="226"/>
      <c r="CQ28" s="226"/>
      <c r="CR28" s="226"/>
      <c r="CS28" s="226"/>
      <c r="CT28" s="226"/>
      <c r="CU28" s="226"/>
      <c r="CV28" s="226"/>
      <c r="CW28" s="226"/>
      <c r="CX28" s="226"/>
      <c r="CY28" s="226"/>
      <c r="CZ28" s="226"/>
      <c r="DA28" s="226"/>
      <c r="DB28" s="226"/>
      <c r="DC28" s="226"/>
      <c r="DD28" s="226"/>
      <c r="DE28" s="226"/>
      <c r="DF28" s="226"/>
      <c r="DG28" s="226"/>
      <c r="DH28" s="226"/>
      <c r="DI28" s="226"/>
      <c r="DJ28" s="226"/>
      <c r="DK28" s="226"/>
      <c r="DL28" s="226"/>
      <c r="DM28" s="226"/>
      <c r="DN28" s="226"/>
      <c r="DO28" s="226"/>
      <c r="DP28" s="226"/>
      <c r="DQ28" s="226"/>
      <c r="DR28" s="226"/>
      <c r="DS28" s="226"/>
      <c r="DT28" s="226"/>
      <c r="DU28" s="226"/>
      <c r="DV28" s="226"/>
      <c r="DW28" s="226"/>
      <c r="DX28" s="226"/>
      <c r="DY28" s="226"/>
      <c r="DZ28" s="226"/>
      <c r="EA28" s="226"/>
      <c r="EB28" s="226"/>
      <c r="EC28" s="226"/>
      <c r="ED28" s="226"/>
      <c r="EE28" s="226"/>
      <c r="EF28" s="226"/>
      <c r="EG28" s="226"/>
      <c r="EH28" s="226"/>
      <c r="EI28" s="226"/>
      <c r="EJ28" s="226"/>
      <c r="EK28" s="226"/>
      <c r="EL28" s="226"/>
      <c r="EM28" s="226"/>
      <c r="EN28" s="226"/>
      <c r="EO28" s="226"/>
      <c r="EP28" s="226"/>
      <c r="EQ28" s="226"/>
      <c r="ER28" s="226"/>
      <c r="ES28" s="226"/>
      <c r="ET28" s="226"/>
      <c r="EU28" s="226"/>
      <c r="EV28" s="226"/>
      <c r="EW28" s="226"/>
      <c r="EX28" s="226"/>
      <c r="EY28" s="226"/>
      <c r="EZ28" s="226"/>
      <c r="FA28" s="226"/>
      <c r="FB28" s="226"/>
      <c r="FC28" s="226"/>
      <c r="FD28" s="226"/>
      <c r="FE28" s="226"/>
      <c r="FF28" s="226"/>
      <c r="FG28" s="226"/>
      <c r="FH28" s="226"/>
      <c r="FI28" s="226"/>
      <c r="FJ28" s="226"/>
      <c r="FK28" s="226"/>
      <c r="FL28" s="226"/>
      <c r="FM28" s="226"/>
      <c r="FN28" s="226"/>
      <c r="FO28" s="226"/>
      <c r="FP28" s="226"/>
      <c r="FQ28" s="226"/>
      <c r="FR28" s="226"/>
      <c r="FS28" s="226"/>
      <c r="FT28" s="226"/>
      <c r="FU28" s="226"/>
      <c r="FV28" s="226"/>
      <c r="FW28" s="226"/>
      <c r="FX28" s="226"/>
      <c r="FY28" s="226"/>
      <c r="FZ28" s="226"/>
      <c r="GA28" s="226"/>
      <c r="GB28" s="226"/>
      <c r="GC28" s="226"/>
      <c r="GD28" s="226"/>
      <c r="GE28" s="226"/>
      <c r="GF28" s="226"/>
      <c r="GG28" s="226"/>
      <c r="GH28" s="226"/>
      <c r="GI28" s="226"/>
      <c r="GJ28" s="226"/>
      <c r="GK28" s="226"/>
      <c r="GL28" s="226"/>
      <c r="GM28" s="226"/>
      <c r="GN28" s="226"/>
      <c r="GO28" s="226"/>
      <c r="GP28" s="226"/>
      <c r="GQ28" s="226"/>
      <c r="GR28" s="226"/>
      <c r="GS28" s="226"/>
      <c r="GT28" s="226"/>
      <c r="GU28" s="226"/>
      <c r="GV28" s="226"/>
      <c r="GW28" s="226"/>
      <c r="GX28" s="226"/>
      <c r="GY28" s="226"/>
      <c r="GZ28" s="226"/>
      <c r="HA28" s="226"/>
      <c r="HB28" s="226"/>
      <c r="HC28" s="226"/>
      <c r="HD28" s="226"/>
      <c r="HE28" s="226"/>
      <c r="HF28" s="226"/>
      <c r="HG28" s="226"/>
      <c r="HH28" s="226"/>
      <c r="HI28" s="226"/>
      <c r="HJ28" s="226"/>
    </row>
    <row r="29" spans="1:218" s="43" customFormat="1" ht="11.25" hidden="1">
      <c r="A29" s="163"/>
      <c r="B29" s="89"/>
      <c r="C29" s="89">
        <v>4110</v>
      </c>
      <c r="D29" s="23" t="s">
        <v>100</v>
      </c>
      <c r="E29" s="148">
        <f>16800+23800</f>
        <v>40600</v>
      </c>
      <c r="F29" s="148"/>
      <c r="G29" s="148">
        <f>16800+23800</f>
        <v>40600</v>
      </c>
      <c r="H29" s="148">
        <f t="shared" si="0"/>
        <v>0</v>
      </c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226"/>
      <c r="BS29" s="226"/>
      <c r="BT29" s="226"/>
      <c r="BU29" s="226"/>
      <c r="BV29" s="226"/>
      <c r="BW29" s="226"/>
      <c r="BX29" s="226"/>
      <c r="BY29" s="226"/>
      <c r="BZ29" s="226"/>
      <c r="CA29" s="226"/>
      <c r="CB29" s="226"/>
      <c r="CC29" s="226"/>
      <c r="CD29" s="226"/>
      <c r="CE29" s="226"/>
      <c r="CF29" s="226"/>
      <c r="CG29" s="226"/>
      <c r="CH29" s="226"/>
      <c r="CI29" s="226"/>
      <c r="CJ29" s="226"/>
      <c r="CK29" s="226"/>
      <c r="CL29" s="226"/>
      <c r="CM29" s="226"/>
      <c r="CN29" s="226"/>
      <c r="CO29" s="226"/>
      <c r="CP29" s="226"/>
      <c r="CQ29" s="226"/>
      <c r="CR29" s="226"/>
      <c r="CS29" s="226"/>
      <c r="CT29" s="226"/>
      <c r="CU29" s="226"/>
      <c r="CV29" s="226"/>
      <c r="CW29" s="226"/>
      <c r="CX29" s="226"/>
      <c r="CY29" s="226"/>
      <c r="CZ29" s="226"/>
      <c r="DA29" s="226"/>
      <c r="DB29" s="226"/>
      <c r="DC29" s="226"/>
      <c r="DD29" s="226"/>
      <c r="DE29" s="226"/>
      <c r="DF29" s="226"/>
      <c r="DG29" s="226"/>
      <c r="DH29" s="226"/>
      <c r="DI29" s="226"/>
      <c r="DJ29" s="226"/>
      <c r="DK29" s="226"/>
      <c r="DL29" s="226"/>
      <c r="DM29" s="226"/>
      <c r="DN29" s="226"/>
      <c r="DO29" s="226"/>
      <c r="DP29" s="226"/>
      <c r="DQ29" s="226"/>
      <c r="DR29" s="226"/>
      <c r="DS29" s="226"/>
      <c r="DT29" s="226"/>
      <c r="DU29" s="226"/>
      <c r="DV29" s="226"/>
      <c r="DW29" s="226"/>
      <c r="DX29" s="226"/>
      <c r="DY29" s="226"/>
      <c r="DZ29" s="226"/>
      <c r="EA29" s="226"/>
      <c r="EB29" s="226"/>
      <c r="EC29" s="226"/>
      <c r="ED29" s="226"/>
      <c r="EE29" s="226"/>
      <c r="EF29" s="226"/>
      <c r="EG29" s="226"/>
      <c r="EH29" s="226"/>
      <c r="EI29" s="226"/>
      <c r="EJ29" s="226"/>
      <c r="EK29" s="226"/>
      <c r="EL29" s="226"/>
      <c r="EM29" s="226"/>
      <c r="EN29" s="226"/>
      <c r="EO29" s="226"/>
      <c r="EP29" s="226"/>
      <c r="EQ29" s="226"/>
      <c r="ER29" s="226"/>
      <c r="ES29" s="226"/>
      <c r="ET29" s="226"/>
      <c r="EU29" s="226"/>
      <c r="EV29" s="226"/>
      <c r="EW29" s="226"/>
      <c r="EX29" s="226"/>
      <c r="EY29" s="226"/>
      <c r="EZ29" s="226"/>
      <c r="FA29" s="226"/>
      <c r="FB29" s="226"/>
      <c r="FC29" s="226"/>
      <c r="FD29" s="226"/>
      <c r="FE29" s="226"/>
      <c r="FF29" s="226"/>
      <c r="FG29" s="226"/>
      <c r="FH29" s="226"/>
      <c r="FI29" s="226"/>
      <c r="FJ29" s="226"/>
      <c r="FK29" s="226"/>
      <c r="FL29" s="226"/>
      <c r="FM29" s="226"/>
      <c r="FN29" s="226"/>
      <c r="FO29" s="226"/>
      <c r="FP29" s="226"/>
      <c r="FQ29" s="226"/>
      <c r="FR29" s="226"/>
      <c r="FS29" s="226"/>
      <c r="FT29" s="226"/>
      <c r="FU29" s="226"/>
      <c r="FV29" s="226"/>
      <c r="FW29" s="226"/>
      <c r="FX29" s="226"/>
      <c r="FY29" s="226"/>
      <c r="FZ29" s="226"/>
      <c r="GA29" s="226"/>
      <c r="GB29" s="226"/>
      <c r="GC29" s="226"/>
      <c r="GD29" s="226"/>
      <c r="GE29" s="226"/>
      <c r="GF29" s="226"/>
      <c r="GG29" s="226"/>
      <c r="GH29" s="226"/>
      <c r="GI29" s="226"/>
      <c r="GJ29" s="226"/>
      <c r="GK29" s="226"/>
      <c r="GL29" s="226"/>
      <c r="GM29" s="226"/>
      <c r="GN29" s="226"/>
      <c r="GO29" s="226"/>
      <c r="GP29" s="226"/>
      <c r="GQ29" s="226"/>
      <c r="GR29" s="226"/>
      <c r="GS29" s="226"/>
      <c r="GT29" s="226"/>
      <c r="GU29" s="226"/>
      <c r="GV29" s="226"/>
      <c r="GW29" s="226"/>
      <c r="GX29" s="226"/>
      <c r="GY29" s="226"/>
      <c r="GZ29" s="226"/>
      <c r="HA29" s="226"/>
      <c r="HB29" s="226"/>
      <c r="HC29" s="226"/>
      <c r="HD29" s="226"/>
      <c r="HE29" s="226"/>
      <c r="HF29" s="226"/>
      <c r="HG29" s="226"/>
      <c r="HH29" s="226"/>
      <c r="HI29" s="226"/>
      <c r="HJ29" s="226"/>
    </row>
    <row r="30" spans="1:218" s="43" customFormat="1" ht="11.25" hidden="1">
      <c r="A30" s="163"/>
      <c r="B30" s="89"/>
      <c r="C30" s="89">
        <v>4120</v>
      </c>
      <c r="D30" s="23" t="s">
        <v>101</v>
      </c>
      <c r="E30" s="148">
        <v>2300</v>
      </c>
      <c r="F30" s="148"/>
      <c r="G30" s="148">
        <v>2300</v>
      </c>
      <c r="H30" s="148">
        <f t="shared" si="0"/>
        <v>0</v>
      </c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E30" s="226"/>
      <c r="DF30" s="226"/>
      <c r="DG30" s="226"/>
      <c r="DH30" s="226"/>
      <c r="DI30" s="226"/>
      <c r="DJ30" s="226"/>
      <c r="DK30" s="226"/>
      <c r="DL30" s="226"/>
      <c r="DM30" s="226"/>
      <c r="DN30" s="226"/>
      <c r="DO30" s="226"/>
      <c r="DP30" s="226"/>
      <c r="DQ30" s="226"/>
      <c r="DR30" s="226"/>
      <c r="DS30" s="226"/>
      <c r="DT30" s="226"/>
      <c r="DU30" s="226"/>
      <c r="DV30" s="226"/>
      <c r="DW30" s="226"/>
      <c r="DX30" s="226"/>
      <c r="DY30" s="226"/>
      <c r="DZ30" s="226"/>
      <c r="EA30" s="226"/>
      <c r="EB30" s="226"/>
      <c r="EC30" s="226"/>
      <c r="ED30" s="226"/>
      <c r="EE30" s="226"/>
      <c r="EF30" s="226"/>
      <c r="EG30" s="226"/>
      <c r="EH30" s="226"/>
      <c r="EI30" s="226"/>
      <c r="EJ30" s="226"/>
      <c r="EK30" s="226"/>
      <c r="EL30" s="226"/>
      <c r="EM30" s="226"/>
      <c r="EN30" s="226"/>
      <c r="EO30" s="226"/>
      <c r="EP30" s="226"/>
      <c r="EQ30" s="226"/>
      <c r="ER30" s="226"/>
      <c r="ES30" s="226"/>
      <c r="ET30" s="226"/>
      <c r="EU30" s="226"/>
      <c r="EV30" s="226"/>
      <c r="EW30" s="226"/>
      <c r="EX30" s="226"/>
      <c r="EY30" s="226"/>
      <c r="EZ30" s="226"/>
      <c r="FA30" s="226"/>
      <c r="FB30" s="226"/>
      <c r="FC30" s="226"/>
      <c r="FD30" s="226"/>
      <c r="FE30" s="226"/>
      <c r="FF30" s="226"/>
      <c r="FG30" s="226"/>
      <c r="FH30" s="226"/>
      <c r="FI30" s="226"/>
      <c r="FJ30" s="226"/>
      <c r="FK30" s="226"/>
      <c r="FL30" s="226"/>
      <c r="FM30" s="226"/>
      <c r="FN30" s="226"/>
      <c r="FO30" s="226"/>
      <c r="FP30" s="226"/>
      <c r="FQ30" s="226"/>
      <c r="FR30" s="226"/>
      <c r="FS30" s="226"/>
      <c r="FT30" s="226"/>
      <c r="FU30" s="226"/>
      <c r="FV30" s="226"/>
      <c r="FW30" s="226"/>
      <c r="FX30" s="226"/>
      <c r="FY30" s="226"/>
      <c r="FZ30" s="226"/>
      <c r="GA30" s="226"/>
      <c r="GB30" s="226"/>
      <c r="GC30" s="226"/>
      <c r="GD30" s="226"/>
      <c r="GE30" s="226"/>
      <c r="GF30" s="226"/>
      <c r="GG30" s="226"/>
      <c r="GH30" s="226"/>
      <c r="GI30" s="226"/>
      <c r="GJ30" s="226"/>
      <c r="GK30" s="226"/>
      <c r="GL30" s="226"/>
      <c r="GM30" s="226"/>
      <c r="GN30" s="226"/>
      <c r="GO30" s="226"/>
      <c r="GP30" s="226"/>
      <c r="GQ30" s="226"/>
      <c r="GR30" s="226"/>
      <c r="GS30" s="226"/>
      <c r="GT30" s="226"/>
      <c r="GU30" s="226"/>
      <c r="GV30" s="226"/>
      <c r="GW30" s="226"/>
      <c r="GX30" s="226"/>
      <c r="GY30" s="226"/>
      <c r="GZ30" s="226"/>
      <c r="HA30" s="226"/>
      <c r="HB30" s="226"/>
      <c r="HC30" s="226"/>
      <c r="HD30" s="226"/>
      <c r="HE30" s="226"/>
      <c r="HF30" s="226"/>
      <c r="HG30" s="226"/>
      <c r="HH30" s="226"/>
      <c r="HI30" s="226"/>
      <c r="HJ30" s="226"/>
    </row>
    <row r="31" spans="1:218" s="43" customFormat="1" ht="11.25" hidden="1">
      <c r="A31" s="163"/>
      <c r="B31" s="89"/>
      <c r="C31" s="89">
        <v>4170</v>
      </c>
      <c r="D31" s="23" t="s">
        <v>294</v>
      </c>
      <c r="E31" s="148">
        <v>3000</v>
      </c>
      <c r="F31" s="148"/>
      <c r="G31" s="148">
        <v>3000</v>
      </c>
      <c r="H31" s="148">
        <f>SUM(E31+F31-G31)</f>
        <v>0</v>
      </c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  <c r="BJ31" s="226"/>
      <c r="BK31" s="226"/>
      <c r="BL31" s="226"/>
      <c r="BM31" s="226"/>
      <c r="BN31" s="226"/>
      <c r="BO31" s="226"/>
      <c r="BP31" s="226"/>
      <c r="BQ31" s="226"/>
      <c r="BR31" s="226"/>
      <c r="BS31" s="226"/>
      <c r="BT31" s="226"/>
      <c r="BU31" s="226"/>
      <c r="BV31" s="226"/>
      <c r="BW31" s="226"/>
      <c r="BX31" s="226"/>
      <c r="BY31" s="226"/>
      <c r="BZ31" s="226"/>
      <c r="CA31" s="226"/>
      <c r="CB31" s="226"/>
      <c r="CC31" s="226"/>
      <c r="CD31" s="226"/>
      <c r="CE31" s="226"/>
      <c r="CF31" s="226"/>
      <c r="CG31" s="226"/>
      <c r="CH31" s="226"/>
      <c r="CI31" s="226"/>
      <c r="CJ31" s="226"/>
      <c r="CK31" s="226"/>
      <c r="CL31" s="226"/>
      <c r="CM31" s="226"/>
      <c r="CN31" s="226"/>
      <c r="CO31" s="226"/>
      <c r="CP31" s="226"/>
      <c r="CQ31" s="226"/>
      <c r="CR31" s="226"/>
      <c r="CS31" s="226"/>
      <c r="CT31" s="226"/>
      <c r="CU31" s="226"/>
      <c r="CV31" s="226"/>
      <c r="CW31" s="226"/>
      <c r="CX31" s="226"/>
      <c r="CY31" s="226"/>
      <c r="CZ31" s="226"/>
      <c r="DA31" s="226"/>
      <c r="DB31" s="226"/>
      <c r="DC31" s="226"/>
      <c r="DD31" s="226"/>
      <c r="DE31" s="226"/>
      <c r="DF31" s="226"/>
      <c r="DG31" s="226"/>
      <c r="DH31" s="226"/>
      <c r="DI31" s="226"/>
      <c r="DJ31" s="226"/>
      <c r="DK31" s="226"/>
      <c r="DL31" s="226"/>
      <c r="DM31" s="226"/>
      <c r="DN31" s="226"/>
      <c r="DO31" s="226"/>
      <c r="DP31" s="226"/>
      <c r="DQ31" s="226"/>
      <c r="DR31" s="226"/>
      <c r="DS31" s="226"/>
      <c r="DT31" s="226"/>
      <c r="DU31" s="226"/>
      <c r="DV31" s="226"/>
      <c r="DW31" s="226"/>
      <c r="DX31" s="226"/>
      <c r="DY31" s="226"/>
      <c r="DZ31" s="226"/>
      <c r="EA31" s="226"/>
      <c r="EB31" s="226"/>
      <c r="EC31" s="226"/>
      <c r="ED31" s="226"/>
      <c r="EE31" s="226"/>
      <c r="EF31" s="226"/>
      <c r="EG31" s="226"/>
      <c r="EH31" s="226"/>
      <c r="EI31" s="226"/>
      <c r="EJ31" s="226"/>
      <c r="EK31" s="226"/>
      <c r="EL31" s="226"/>
      <c r="EM31" s="226"/>
      <c r="EN31" s="226"/>
      <c r="EO31" s="226"/>
      <c r="EP31" s="226"/>
      <c r="EQ31" s="226"/>
      <c r="ER31" s="226"/>
      <c r="ES31" s="226"/>
      <c r="ET31" s="226"/>
      <c r="EU31" s="226"/>
      <c r="EV31" s="226"/>
      <c r="EW31" s="226"/>
      <c r="EX31" s="226"/>
      <c r="EY31" s="226"/>
      <c r="EZ31" s="226"/>
      <c r="FA31" s="226"/>
      <c r="FB31" s="226"/>
      <c r="FC31" s="226"/>
      <c r="FD31" s="226"/>
      <c r="FE31" s="226"/>
      <c r="FF31" s="226"/>
      <c r="FG31" s="226"/>
      <c r="FH31" s="226"/>
      <c r="FI31" s="226"/>
      <c r="FJ31" s="226"/>
      <c r="FK31" s="226"/>
      <c r="FL31" s="226"/>
      <c r="FM31" s="226"/>
      <c r="FN31" s="226"/>
      <c r="FO31" s="226"/>
      <c r="FP31" s="226"/>
      <c r="FQ31" s="226"/>
      <c r="FR31" s="226"/>
      <c r="FS31" s="226"/>
      <c r="FT31" s="226"/>
      <c r="FU31" s="226"/>
      <c r="FV31" s="226"/>
      <c r="FW31" s="226"/>
      <c r="FX31" s="226"/>
      <c r="FY31" s="226"/>
      <c r="FZ31" s="226"/>
      <c r="GA31" s="226"/>
      <c r="GB31" s="226"/>
      <c r="GC31" s="226"/>
      <c r="GD31" s="226"/>
      <c r="GE31" s="226"/>
      <c r="GF31" s="226"/>
      <c r="GG31" s="226"/>
      <c r="GH31" s="226"/>
      <c r="GI31" s="226"/>
      <c r="GJ31" s="226"/>
      <c r="GK31" s="226"/>
      <c r="GL31" s="226"/>
      <c r="GM31" s="226"/>
      <c r="GN31" s="226"/>
      <c r="GO31" s="226"/>
      <c r="GP31" s="226"/>
      <c r="GQ31" s="226"/>
      <c r="GR31" s="226"/>
      <c r="GS31" s="226"/>
      <c r="GT31" s="226"/>
      <c r="GU31" s="226"/>
      <c r="GV31" s="226"/>
      <c r="GW31" s="226"/>
      <c r="GX31" s="226"/>
      <c r="GY31" s="226"/>
      <c r="GZ31" s="226"/>
      <c r="HA31" s="226"/>
      <c r="HB31" s="226"/>
      <c r="HC31" s="226"/>
      <c r="HD31" s="226"/>
      <c r="HE31" s="226"/>
      <c r="HF31" s="226"/>
      <c r="HG31" s="226"/>
      <c r="HH31" s="226"/>
      <c r="HI31" s="226"/>
      <c r="HJ31" s="226"/>
    </row>
    <row r="32" spans="1:218" s="43" customFormat="1" ht="11.25" hidden="1">
      <c r="A32" s="163"/>
      <c r="B32" s="89"/>
      <c r="C32" s="89">
        <v>4210</v>
      </c>
      <c r="D32" s="23" t="s">
        <v>106</v>
      </c>
      <c r="E32" s="148">
        <f>9000+4812</f>
        <v>13812</v>
      </c>
      <c r="F32" s="148"/>
      <c r="G32" s="148">
        <f>9000+4812</f>
        <v>13812</v>
      </c>
      <c r="H32" s="148">
        <f t="shared" si="0"/>
        <v>0</v>
      </c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  <c r="BI32" s="226"/>
      <c r="BJ32" s="226"/>
      <c r="BK32" s="226"/>
      <c r="BL32" s="226"/>
      <c r="BM32" s="226"/>
      <c r="BN32" s="226"/>
      <c r="BO32" s="226"/>
      <c r="BP32" s="226"/>
      <c r="BQ32" s="226"/>
      <c r="BR32" s="226"/>
      <c r="BS32" s="226"/>
      <c r="BT32" s="226"/>
      <c r="BU32" s="226"/>
      <c r="BV32" s="226"/>
      <c r="BW32" s="226"/>
      <c r="BX32" s="226"/>
      <c r="BY32" s="226"/>
      <c r="BZ32" s="226"/>
      <c r="CA32" s="226"/>
      <c r="CB32" s="226"/>
      <c r="CC32" s="226"/>
      <c r="CD32" s="226"/>
      <c r="CE32" s="226"/>
      <c r="CF32" s="226"/>
      <c r="CG32" s="226"/>
      <c r="CH32" s="226"/>
      <c r="CI32" s="226"/>
      <c r="CJ32" s="226"/>
      <c r="CK32" s="226"/>
      <c r="CL32" s="226"/>
      <c r="CM32" s="226"/>
      <c r="CN32" s="226"/>
      <c r="CO32" s="226"/>
      <c r="CP32" s="226"/>
      <c r="CQ32" s="226"/>
      <c r="CR32" s="226"/>
      <c r="CS32" s="226"/>
      <c r="CT32" s="226"/>
      <c r="CU32" s="226"/>
      <c r="CV32" s="226"/>
      <c r="CW32" s="226"/>
      <c r="CX32" s="226"/>
      <c r="CY32" s="226"/>
      <c r="CZ32" s="226"/>
      <c r="DA32" s="226"/>
      <c r="DB32" s="226"/>
      <c r="DC32" s="226"/>
      <c r="DD32" s="226"/>
      <c r="DE32" s="226"/>
      <c r="DF32" s="226"/>
      <c r="DG32" s="226"/>
      <c r="DH32" s="226"/>
      <c r="DI32" s="226"/>
      <c r="DJ32" s="226"/>
      <c r="DK32" s="226"/>
      <c r="DL32" s="226"/>
      <c r="DM32" s="226"/>
      <c r="DN32" s="226"/>
      <c r="DO32" s="226"/>
      <c r="DP32" s="226"/>
      <c r="DQ32" s="226"/>
      <c r="DR32" s="226"/>
      <c r="DS32" s="226"/>
      <c r="DT32" s="226"/>
      <c r="DU32" s="226"/>
      <c r="DV32" s="226"/>
      <c r="DW32" s="226"/>
      <c r="DX32" s="226"/>
      <c r="DY32" s="226"/>
      <c r="DZ32" s="226"/>
      <c r="EA32" s="226"/>
      <c r="EB32" s="226"/>
      <c r="EC32" s="226"/>
      <c r="ED32" s="226"/>
      <c r="EE32" s="226"/>
      <c r="EF32" s="226"/>
      <c r="EG32" s="226"/>
      <c r="EH32" s="226"/>
      <c r="EI32" s="226"/>
      <c r="EJ32" s="226"/>
      <c r="EK32" s="226"/>
      <c r="EL32" s="226"/>
      <c r="EM32" s="226"/>
      <c r="EN32" s="226"/>
      <c r="EO32" s="226"/>
      <c r="EP32" s="226"/>
      <c r="EQ32" s="226"/>
      <c r="ER32" s="226"/>
      <c r="ES32" s="226"/>
      <c r="ET32" s="226"/>
      <c r="EU32" s="226"/>
      <c r="EV32" s="226"/>
      <c r="EW32" s="226"/>
      <c r="EX32" s="226"/>
      <c r="EY32" s="226"/>
      <c r="EZ32" s="226"/>
      <c r="FA32" s="226"/>
      <c r="FB32" s="226"/>
      <c r="FC32" s="226"/>
      <c r="FD32" s="226"/>
      <c r="FE32" s="226"/>
      <c r="FF32" s="226"/>
      <c r="FG32" s="226"/>
      <c r="FH32" s="226"/>
      <c r="FI32" s="226"/>
      <c r="FJ32" s="226"/>
      <c r="FK32" s="226"/>
      <c r="FL32" s="226"/>
      <c r="FM32" s="226"/>
      <c r="FN32" s="226"/>
      <c r="FO32" s="226"/>
      <c r="FP32" s="226"/>
      <c r="FQ32" s="226"/>
      <c r="FR32" s="226"/>
      <c r="FS32" s="226"/>
      <c r="FT32" s="226"/>
      <c r="FU32" s="226"/>
      <c r="FV32" s="226"/>
      <c r="FW32" s="226"/>
      <c r="FX32" s="226"/>
      <c r="FY32" s="226"/>
      <c r="FZ32" s="226"/>
      <c r="GA32" s="226"/>
      <c r="GB32" s="226"/>
      <c r="GC32" s="226"/>
      <c r="GD32" s="226"/>
      <c r="GE32" s="226"/>
      <c r="GF32" s="226"/>
      <c r="GG32" s="226"/>
      <c r="GH32" s="226"/>
      <c r="GI32" s="226"/>
      <c r="GJ32" s="226"/>
      <c r="GK32" s="226"/>
      <c r="GL32" s="226"/>
      <c r="GM32" s="226"/>
      <c r="GN32" s="226"/>
      <c r="GO32" s="226"/>
      <c r="GP32" s="226"/>
      <c r="GQ32" s="226"/>
      <c r="GR32" s="226"/>
      <c r="GS32" s="226"/>
      <c r="GT32" s="226"/>
      <c r="GU32" s="226"/>
      <c r="GV32" s="226"/>
      <c r="GW32" s="226"/>
      <c r="GX32" s="226"/>
      <c r="GY32" s="226"/>
      <c r="GZ32" s="226"/>
      <c r="HA32" s="226"/>
      <c r="HB32" s="226"/>
      <c r="HC32" s="226"/>
      <c r="HD32" s="226"/>
      <c r="HE32" s="226"/>
      <c r="HF32" s="226"/>
      <c r="HG32" s="226"/>
      <c r="HH32" s="226"/>
      <c r="HI32" s="226"/>
      <c r="HJ32" s="226"/>
    </row>
    <row r="33" spans="1:218" s="43" customFormat="1" ht="11.25" hidden="1">
      <c r="A33" s="163"/>
      <c r="B33" s="89"/>
      <c r="C33" s="89">
        <v>4300</v>
      </c>
      <c r="D33" s="23" t="s">
        <v>93</v>
      </c>
      <c r="E33" s="148">
        <v>24307</v>
      </c>
      <c r="F33" s="148"/>
      <c r="G33" s="148">
        <v>24307</v>
      </c>
      <c r="H33" s="148">
        <f t="shared" si="0"/>
        <v>0</v>
      </c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6"/>
      <c r="BX33" s="226"/>
      <c r="BY33" s="226"/>
      <c r="BZ33" s="226"/>
      <c r="CA33" s="226"/>
      <c r="CB33" s="226"/>
      <c r="CC33" s="226"/>
      <c r="CD33" s="226"/>
      <c r="CE33" s="226"/>
      <c r="CF33" s="226"/>
      <c r="CG33" s="226"/>
      <c r="CH33" s="226"/>
      <c r="CI33" s="226"/>
      <c r="CJ33" s="226"/>
      <c r="CK33" s="226"/>
      <c r="CL33" s="226"/>
      <c r="CM33" s="226"/>
      <c r="CN33" s="226"/>
      <c r="CO33" s="226"/>
      <c r="CP33" s="226"/>
      <c r="CQ33" s="226"/>
      <c r="CR33" s="226"/>
      <c r="CS33" s="226"/>
      <c r="CT33" s="226"/>
      <c r="CU33" s="226"/>
      <c r="CV33" s="226"/>
      <c r="CW33" s="226"/>
      <c r="CX33" s="226"/>
      <c r="CY33" s="226"/>
      <c r="CZ33" s="226"/>
      <c r="DA33" s="226"/>
      <c r="DB33" s="226"/>
      <c r="DC33" s="226"/>
      <c r="DD33" s="226"/>
      <c r="DE33" s="226"/>
      <c r="DF33" s="226"/>
      <c r="DG33" s="226"/>
      <c r="DH33" s="226"/>
      <c r="DI33" s="226"/>
      <c r="DJ33" s="226"/>
      <c r="DK33" s="226"/>
      <c r="DL33" s="226"/>
      <c r="DM33" s="226"/>
      <c r="DN33" s="226"/>
      <c r="DO33" s="226"/>
      <c r="DP33" s="226"/>
      <c r="DQ33" s="226"/>
      <c r="DR33" s="226"/>
      <c r="DS33" s="226"/>
      <c r="DT33" s="226"/>
      <c r="DU33" s="226"/>
      <c r="DV33" s="226"/>
      <c r="DW33" s="226"/>
      <c r="DX33" s="226"/>
      <c r="DY33" s="226"/>
      <c r="DZ33" s="226"/>
      <c r="EA33" s="226"/>
      <c r="EB33" s="226"/>
      <c r="EC33" s="226"/>
      <c r="ED33" s="226"/>
      <c r="EE33" s="226"/>
      <c r="EF33" s="226"/>
      <c r="EG33" s="226"/>
      <c r="EH33" s="226"/>
      <c r="EI33" s="226"/>
      <c r="EJ33" s="226"/>
      <c r="EK33" s="226"/>
      <c r="EL33" s="226"/>
      <c r="EM33" s="226"/>
      <c r="EN33" s="226"/>
      <c r="EO33" s="226"/>
      <c r="EP33" s="226"/>
      <c r="EQ33" s="226"/>
      <c r="ER33" s="226"/>
      <c r="ES33" s="226"/>
      <c r="ET33" s="226"/>
      <c r="EU33" s="226"/>
      <c r="EV33" s="226"/>
      <c r="EW33" s="226"/>
      <c r="EX33" s="226"/>
      <c r="EY33" s="226"/>
      <c r="EZ33" s="226"/>
      <c r="FA33" s="226"/>
      <c r="FB33" s="226"/>
      <c r="FC33" s="226"/>
      <c r="FD33" s="226"/>
      <c r="FE33" s="226"/>
      <c r="FF33" s="226"/>
      <c r="FG33" s="226"/>
      <c r="FH33" s="226"/>
      <c r="FI33" s="226"/>
      <c r="FJ33" s="226"/>
      <c r="FK33" s="226"/>
      <c r="FL33" s="226"/>
      <c r="FM33" s="226"/>
      <c r="FN33" s="226"/>
      <c r="FO33" s="226"/>
      <c r="FP33" s="226"/>
      <c r="FQ33" s="226"/>
      <c r="FR33" s="226"/>
      <c r="FS33" s="226"/>
      <c r="FT33" s="226"/>
      <c r="FU33" s="226"/>
      <c r="FV33" s="226"/>
      <c r="FW33" s="226"/>
      <c r="FX33" s="226"/>
      <c r="FY33" s="226"/>
      <c r="FZ33" s="226"/>
      <c r="GA33" s="226"/>
      <c r="GB33" s="226"/>
      <c r="GC33" s="226"/>
      <c r="GD33" s="226"/>
      <c r="GE33" s="226"/>
      <c r="GF33" s="226"/>
      <c r="GG33" s="226"/>
      <c r="GH33" s="226"/>
      <c r="GI33" s="226"/>
      <c r="GJ33" s="226"/>
      <c r="GK33" s="226"/>
      <c r="GL33" s="226"/>
      <c r="GM33" s="226"/>
      <c r="GN33" s="226"/>
      <c r="GO33" s="226"/>
      <c r="GP33" s="226"/>
      <c r="GQ33" s="226"/>
      <c r="GR33" s="226"/>
      <c r="GS33" s="226"/>
      <c r="GT33" s="226"/>
      <c r="GU33" s="226"/>
      <c r="GV33" s="226"/>
      <c r="GW33" s="226"/>
      <c r="GX33" s="226"/>
      <c r="GY33" s="226"/>
      <c r="GZ33" s="226"/>
      <c r="HA33" s="226"/>
      <c r="HB33" s="226"/>
      <c r="HC33" s="226"/>
      <c r="HD33" s="226"/>
      <c r="HE33" s="226"/>
      <c r="HF33" s="226"/>
      <c r="HG33" s="226"/>
      <c r="HH33" s="226"/>
      <c r="HI33" s="226"/>
      <c r="HJ33" s="226"/>
    </row>
    <row r="34" spans="1:218" s="43" customFormat="1" ht="11.25" hidden="1">
      <c r="A34" s="163"/>
      <c r="B34" s="89"/>
      <c r="C34" s="89">
        <v>4410</v>
      </c>
      <c r="D34" s="23" t="s">
        <v>104</v>
      </c>
      <c r="E34" s="148">
        <v>3000</v>
      </c>
      <c r="F34" s="148"/>
      <c r="G34" s="148">
        <v>3000</v>
      </c>
      <c r="H34" s="148">
        <f t="shared" si="0"/>
        <v>0</v>
      </c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6"/>
      <c r="BJ34" s="226"/>
      <c r="BK34" s="226"/>
      <c r="BL34" s="226"/>
      <c r="BM34" s="226"/>
      <c r="BN34" s="226"/>
      <c r="BO34" s="226"/>
      <c r="BP34" s="226"/>
      <c r="BQ34" s="226"/>
      <c r="BR34" s="226"/>
      <c r="BS34" s="226"/>
      <c r="BT34" s="226"/>
      <c r="BU34" s="226"/>
      <c r="BV34" s="226"/>
      <c r="BW34" s="226"/>
      <c r="BX34" s="226"/>
      <c r="BY34" s="226"/>
      <c r="BZ34" s="226"/>
      <c r="CA34" s="226"/>
      <c r="CB34" s="226"/>
      <c r="CC34" s="226"/>
      <c r="CD34" s="226"/>
      <c r="CE34" s="226"/>
      <c r="CF34" s="226"/>
      <c r="CG34" s="226"/>
      <c r="CH34" s="226"/>
      <c r="CI34" s="226"/>
      <c r="CJ34" s="226"/>
      <c r="CK34" s="226"/>
      <c r="CL34" s="226"/>
      <c r="CM34" s="226"/>
      <c r="CN34" s="226"/>
      <c r="CO34" s="226"/>
      <c r="CP34" s="226"/>
      <c r="CQ34" s="226"/>
      <c r="CR34" s="226"/>
      <c r="CS34" s="226"/>
      <c r="CT34" s="226"/>
      <c r="CU34" s="226"/>
      <c r="CV34" s="226"/>
      <c r="CW34" s="226"/>
      <c r="CX34" s="226"/>
      <c r="CY34" s="226"/>
      <c r="CZ34" s="226"/>
      <c r="DA34" s="226"/>
      <c r="DB34" s="226"/>
      <c r="DC34" s="226"/>
      <c r="DD34" s="226"/>
      <c r="DE34" s="226"/>
      <c r="DF34" s="226"/>
      <c r="DG34" s="226"/>
      <c r="DH34" s="226"/>
      <c r="DI34" s="226"/>
      <c r="DJ34" s="226"/>
      <c r="DK34" s="226"/>
      <c r="DL34" s="226"/>
      <c r="DM34" s="226"/>
      <c r="DN34" s="226"/>
      <c r="DO34" s="226"/>
      <c r="DP34" s="226"/>
      <c r="DQ34" s="226"/>
      <c r="DR34" s="226"/>
      <c r="DS34" s="226"/>
      <c r="DT34" s="226"/>
      <c r="DU34" s="226"/>
      <c r="DV34" s="226"/>
      <c r="DW34" s="226"/>
      <c r="DX34" s="226"/>
      <c r="DY34" s="226"/>
      <c r="DZ34" s="226"/>
      <c r="EA34" s="226"/>
      <c r="EB34" s="226"/>
      <c r="EC34" s="226"/>
      <c r="ED34" s="226"/>
      <c r="EE34" s="226"/>
      <c r="EF34" s="226"/>
      <c r="EG34" s="226"/>
      <c r="EH34" s="226"/>
      <c r="EI34" s="226"/>
      <c r="EJ34" s="226"/>
      <c r="EK34" s="226"/>
      <c r="EL34" s="226"/>
      <c r="EM34" s="226"/>
      <c r="EN34" s="226"/>
      <c r="EO34" s="226"/>
      <c r="EP34" s="226"/>
      <c r="EQ34" s="226"/>
      <c r="ER34" s="226"/>
      <c r="ES34" s="226"/>
      <c r="ET34" s="226"/>
      <c r="EU34" s="226"/>
      <c r="EV34" s="226"/>
      <c r="EW34" s="226"/>
      <c r="EX34" s="226"/>
      <c r="EY34" s="226"/>
      <c r="EZ34" s="226"/>
      <c r="FA34" s="226"/>
      <c r="FB34" s="226"/>
      <c r="FC34" s="226"/>
      <c r="FD34" s="226"/>
      <c r="FE34" s="226"/>
      <c r="FF34" s="226"/>
      <c r="FG34" s="226"/>
      <c r="FH34" s="226"/>
      <c r="FI34" s="226"/>
      <c r="FJ34" s="226"/>
      <c r="FK34" s="226"/>
      <c r="FL34" s="226"/>
      <c r="FM34" s="226"/>
      <c r="FN34" s="226"/>
      <c r="FO34" s="226"/>
      <c r="FP34" s="226"/>
      <c r="FQ34" s="226"/>
      <c r="FR34" s="226"/>
      <c r="FS34" s="226"/>
      <c r="FT34" s="226"/>
      <c r="FU34" s="226"/>
      <c r="FV34" s="226"/>
      <c r="FW34" s="226"/>
      <c r="FX34" s="226"/>
      <c r="FY34" s="226"/>
      <c r="FZ34" s="226"/>
      <c r="GA34" s="226"/>
      <c r="GB34" s="226"/>
      <c r="GC34" s="226"/>
      <c r="GD34" s="226"/>
      <c r="GE34" s="226"/>
      <c r="GF34" s="226"/>
      <c r="GG34" s="226"/>
      <c r="GH34" s="226"/>
      <c r="GI34" s="226"/>
      <c r="GJ34" s="226"/>
      <c r="GK34" s="226"/>
      <c r="GL34" s="226"/>
      <c r="GM34" s="226"/>
      <c r="GN34" s="226"/>
      <c r="GO34" s="226"/>
      <c r="GP34" s="226"/>
      <c r="GQ34" s="226"/>
      <c r="GR34" s="226"/>
      <c r="GS34" s="226"/>
      <c r="GT34" s="226"/>
      <c r="GU34" s="226"/>
      <c r="GV34" s="226"/>
      <c r="GW34" s="226"/>
      <c r="GX34" s="226"/>
      <c r="GY34" s="226"/>
      <c r="GZ34" s="226"/>
      <c r="HA34" s="226"/>
      <c r="HB34" s="226"/>
      <c r="HC34" s="226"/>
      <c r="HD34" s="226"/>
      <c r="HE34" s="226"/>
      <c r="HF34" s="226"/>
      <c r="HG34" s="226"/>
      <c r="HH34" s="226"/>
      <c r="HI34" s="226"/>
      <c r="HJ34" s="226"/>
    </row>
    <row r="35" spans="1:218" s="43" customFormat="1" ht="11.25" hidden="1">
      <c r="A35" s="163"/>
      <c r="B35" s="89"/>
      <c r="C35" s="89">
        <v>4430</v>
      </c>
      <c r="D35" s="23" t="s">
        <v>108</v>
      </c>
      <c r="E35" s="148">
        <v>2000</v>
      </c>
      <c r="F35" s="148"/>
      <c r="G35" s="148">
        <v>2000</v>
      </c>
      <c r="H35" s="148">
        <f t="shared" si="0"/>
        <v>0</v>
      </c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  <c r="BK35" s="226"/>
      <c r="BL35" s="226"/>
      <c r="BM35" s="226"/>
      <c r="BN35" s="226"/>
      <c r="BO35" s="226"/>
      <c r="BP35" s="226"/>
      <c r="BQ35" s="226"/>
      <c r="BR35" s="226"/>
      <c r="BS35" s="226"/>
      <c r="BT35" s="226"/>
      <c r="BU35" s="226"/>
      <c r="BV35" s="226"/>
      <c r="BW35" s="226"/>
      <c r="BX35" s="226"/>
      <c r="BY35" s="226"/>
      <c r="BZ35" s="226"/>
      <c r="CA35" s="226"/>
      <c r="CB35" s="226"/>
      <c r="CC35" s="226"/>
      <c r="CD35" s="226"/>
      <c r="CE35" s="226"/>
      <c r="CF35" s="226"/>
      <c r="CG35" s="226"/>
      <c r="CH35" s="226"/>
      <c r="CI35" s="226"/>
      <c r="CJ35" s="226"/>
      <c r="CK35" s="226"/>
      <c r="CL35" s="226"/>
      <c r="CM35" s="226"/>
      <c r="CN35" s="226"/>
      <c r="CO35" s="226"/>
      <c r="CP35" s="226"/>
      <c r="CQ35" s="226"/>
      <c r="CR35" s="226"/>
      <c r="CS35" s="226"/>
      <c r="CT35" s="226"/>
      <c r="CU35" s="226"/>
      <c r="CV35" s="226"/>
      <c r="CW35" s="226"/>
      <c r="CX35" s="226"/>
      <c r="CY35" s="226"/>
      <c r="CZ35" s="226"/>
      <c r="DA35" s="226"/>
      <c r="DB35" s="226"/>
      <c r="DC35" s="226"/>
      <c r="DD35" s="226"/>
      <c r="DE35" s="226"/>
      <c r="DF35" s="226"/>
      <c r="DG35" s="226"/>
      <c r="DH35" s="226"/>
      <c r="DI35" s="226"/>
      <c r="DJ35" s="226"/>
      <c r="DK35" s="226"/>
      <c r="DL35" s="226"/>
      <c r="DM35" s="226"/>
      <c r="DN35" s="226"/>
      <c r="DO35" s="226"/>
      <c r="DP35" s="226"/>
      <c r="DQ35" s="226"/>
      <c r="DR35" s="226"/>
      <c r="DS35" s="226"/>
      <c r="DT35" s="226"/>
      <c r="DU35" s="226"/>
      <c r="DV35" s="226"/>
      <c r="DW35" s="226"/>
      <c r="DX35" s="226"/>
      <c r="DY35" s="226"/>
      <c r="DZ35" s="226"/>
      <c r="EA35" s="226"/>
      <c r="EB35" s="226"/>
      <c r="EC35" s="226"/>
      <c r="ED35" s="226"/>
      <c r="EE35" s="226"/>
      <c r="EF35" s="226"/>
      <c r="EG35" s="226"/>
      <c r="EH35" s="226"/>
      <c r="EI35" s="226"/>
      <c r="EJ35" s="226"/>
      <c r="EK35" s="226"/>
      <c r="EL35" s="226"/>
      <c r="EM35" s="226"/>
      <c r="EN35" s="226"/>
      <c r="EO35" s="226"/>
      <c r="EP35" s="226"/>
      <c r="EQ35" s="226"/>
      <c r="ER35" s="226"/>
      <c r="ES35" s="226"/>
      <c r="ET35" s="226"/>
      <c r="EU35" s="226"/>
      <c r="EV35" s="226"/>
      <c r="EW35" s="226"/>
      <c r="EX35" s="226"/>
      <c r="EY35" s="226"/>
      <c r="EZ35" s="226"/>
      <c r="FA35" s="226"/>
      <c r="FB35" s="226"/>
      <c r="FC35" s="226"/>
      <c r="FD35" s="226"/>
      <c r="FE35" s="226"/>
      <c r="FF35" s="226"/>
      <c r="FG35" s="226"/>
      <c r="FH35" s="226"/>
      <c r="FI35" s="226"/>
      <c r="FJ35" s="226"/>
      <c r="FK35" s="226"/>
      <c r="FL35" s="226"/>
      <c r="FM35" s="226"/>
      <c r="FN35" s="226"/>
      <c r="FO35" s="226"/>
      <c r="FP35" s="226"/>
      <c r="FQ35" s="226"/>
      <c r="FR35" s="226"/>
      <c r="FS35" s="226"/>
      <c r="FT35" s="226"/>
      <c r="FU35" s="226"/>
      <c r="FV35" s="226"/>
      <c r="FW35" s="226"/>
      <c r="FX35" s="226"/>
      <c r="FY35" s="226"/>
      <c r="FZ35" s="226"/>
      <c r="GA35" s="226"/>
      <c r="GB35" s="226"/>
      <c r="GC35" s="226"/>
      <c r="GD35" s="226"/>
      <c r="GE35" s="226"/>
      <c r="GF35" s="226"/>
      <c r="GG35" s="226"/>
      <c r="GH35" s="226"/>
      <c r="GI35" s="226"/>
      <c r="GJ35" s="226"/>
      <c r="GK35" s="226"/>
      <c r="GL35" s="226"/>
      <c r="GM35" s="226"/>
      <c r="GN35" s="226"/>
      <c r="GO35" s="226"/>
      <c r="GP35" s="226"/>
      <c r="GQ35" s="226"/>
      <c r="GR35" s="226"/>
      <c r="GS35" s="226"/>
      <c r="GT35" s="226"/>
      <c r="GU35" s="226"/>
      <c r="GV35" s="226"/>
      <c r="GW35" s="226"/>
      <c r="GX35" s="226"/>
      <c r="GY35" s="226"/>
      <c r="GZ35" s="226"/>
      <c r="HA35" s="226"/>
      <c r="HB35" s="226"/>
      <c r="HC35" s="226"/>
      <c r="HD35" s="226"/>
      <c r="HE35" s="226"/>
      <c r="HF35" s="226"/>
      <c r="HG35" s="226"/>
      <c r="HH35" s="226"/>
      <c r="HI35" s="226"/>
      <c r="HJ35" s="226"/>
    </row>
    <row r="36" spans="1:218" s="43" customFormat="1" ht="22.5" hidden="1">
      <c r="A36" s="163"/>
      <c r="B36" s="89"/>
      <c r="C36" s="89">
        <v>4440</v>
      </c>
      <c r="D36" s="23" t="s">
        <v>102</v>
      </c>
      <c r="E36" s="148">
        <v>3800</v>
      </c>
      <c r="F36" s="148"/>
      <c r="G36" s="148">
        <v>3800</v>
      </c>
      <c r="H36" s="148">
        <f t="shared" si="0"/>
        <v>0</v>
      </c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6"/>
      <c r="BQ36" s="226"/>
      <c r="BR36" s="226"/>
      <c r="BS36" s="226"/>
      <c r="BT36" s="226"/>
      <c r="BU36" s="226"/>
      <c r="BV36" s="226"/>
      <c r="BW36" s="226"/>
      <c r="BX36" s="226"/>
      <c r="BY36" s="226"/>
      <c r="BZ36" s="226"/>
      <c r="CA36" s="226"/>
      <c r="CB36" s="226"/>
      <c r="CC36" s="226"/>
      <c r="CD36" s="226"/>
      <c r="CE36" s="226"/>
      <c r="CF36" s="226"/>
      <c r="CG36" s="226"/>
      <c r="CH36" s="226"/>
      <c r="CI36" s="226"/>
      <c r="CJ36" s="226"/>
      <c r="CK36" s="226"/>
      <c r="CL36" s="226"/>
      <c r="CM36" s="226"/>
      <c r="CN36" s="226"/>
      <c r="CO36" s="226"/>
      <c r="CP36" s="226"/>
      <c r="CQ36" s="226"/>
      <c r="CR36" s="226"/>
      <c r="CS36" s="226"/>
      <c r="CT36" s="226"/>
      <c r="CU36" s="226"/>
      <c r="CV36" s="226"/>
      <c r="CW36" s="226"/>
      <c r="CX36" s="226"/>
      <c r="CY36" s="226"/>
      <c r="CZ36" s="226"/>
      <c r="DA36" s="226"/>
      <c r="DB36" s="226"/>
      <c r="DC36" s="226"/>
      <c r="DD36" s="226"/>
      <c r="DE36" s="226"/>
      <c r="DF36" s="226"/>
      <c r="DG36" s="226"/>
      <c r="DH36" s="226"/>
      <c r="DI36" s="226"/>
      <c r="DJ36" s="226"/>
      <c r="DK36" s="226"/>
      <c r="DL36" s="226"/>
      <c r="DM36" s="226"/>
      <c r="DN36" s="226"/>
      <c r="DO36" s="226"/>
      <c r="DP36" s="226"/>
      <c r="DQ36" s="226"/>
      <c r="DR36" s="226"/>
      <c r="DS36" s="226"/>
      <c r="DT36" s="226"/>
      <c r="DU36" s="226"/>
      <c r="DV36" s="226"/>
      <c r="DW36" s="226"/>
      <c r="DX36" s="226"/>
      <c r="DY36" s="226"/>
      <c r="DZ36" s="226"/>
      <c r="EA36" s="226"/>
      <c r="EB36" s="226"/>
      <c r="EC36" s="226"/>
      <c r="ED36" s="226"/>
      <c r="EE36" s="226"/>
      <c r="EF36" s="226"/>
      <c r="EG36" s="226"/>
      <c r="EH36" s="226"/>
      <c r="EI36" s="226"/>
      <c r="EJ36" s="226"/>
      <c r="EK36" s="226"/>
      <c r="EL36" s="226"/>
      <c r="EM36" s="226"/>
      <c r="EN36" s="226"/>
      <c r="EO36" s="226"/>
      <c r="EP36" s="226"/>
      <c r="EQ36" s="226"/>
      <c r="ER36" s="226"/>
      <c r="ES36" s="226"/>
      <c r="ET36" s="226"/>
      <c r="EU36" s="226"/>
      <c r="EV36" s="226"/>
      <c r="EW36" s="226"/>
      <c r="EX36" s="226"/>
      <c r="EY36" s="226"/>
      <c r="EZ36" s="226"/>
      <c r="FA36" s="226"/>
      <c r="FB36" s="226"/>
      <c r="FC36" s="226"/>
      <c r="FD36" s="226"/>
      <c r="FE36" s="226"/>
      <c r="FF36" s="226"/>
      <c r="FG36" s="226"/>
      <c r="FH36" s="226"/>
      <c r="FI36" s="226"/>
      <c r="FJ36" s="226"/>
      <c r="FK36" s="226"/>
      <c r="FL36" s="226"/>
      <c r="FM36" s="226"/>
      <c r="FN36" s="226"/>
      <c r="FO36" s="226"/>
      <c r="FP36" s="226"/>
      <c r="FQ36" s="226"/>
      <c r="FR36" s="226"/>
      <c r="FS36" s="226"/>
      <c r="FT36" s="226"/>
      <c r="FU36" s="226"/>
      <c r="FV36" s="226"/>
      <c r="FW36" s="226"/>
      <c r="FX36" s="226"/>
      <c r="FY36" s="226"/>
      <c r="FZ36" s="226"/>
      <c r="GA36" s="226"/>
      <c r="GB36" s="226"/>
      <c r="GC36" s="226"/>
      <c r="GD36" s="226"/>
      <c r="GE36" s="226"/>
      <c r="GF36" s="226"/>
      <c r="GG36" s="226"/>
      <c r="GH36" s="226"/>
      <c r="GI36" s="226"/>
      <c r="GJ36" s="226"/>
      <c r="GK36" s="226"/>
      <c r="GL36" s="226"/>
      <c r="GM36" s="226"/>
      <c r="GN36" s="226"/>
      <c r="GO36" s="226"/>
      <c r="GP36" s="226"/>
      <c r="GQ36" s="226"/>
      <c r="GR36" s="226"/>
      <c r="GS36" s="226"/>
      <c r="GT36" s="226"/>
      <c r="GU36" s="226"/>
      <c r="GV36" s="226"/>
      <c r="GW36" s="226"/>
      <c r="GX36" s="226"/>
      <c r="GY36" s="226"/>
      <c r="GZ36" s="226"/>
      <c r="HA36" s="226"/>
      <c r="HB36" s="226"/>
      <c r="HC36" s="226"/>
      <c r="HD36" s="226"/>
      <c r="HE36" s="226"/>
      <c r="HF36" s="226"/>
      <c r="HG36" s="226"/>
      <c r="HH36" s="226"/>
      <c r="HI36" s="226"/>
      <c r="HJ36" s="226"/>
    </row>
    <row r="37" spans="1:218" s="43" customFormat="1" ht="45">
      <c r="A37" s="163"/>
      <c r="B37" s="89">
        <v>85212</v>
      </c>
      <c r="C37" s="134"/>
      <c r="D37" s="132" t="s">
        <v>448</v>
      </c>
      <c r="E37" s="148">
        <f>SUM(E38:E49)</f>
        <v>0</v>
      </c>
      <c r="F37" s="148">
        <f>SUM(F38:F49)</f>
        <v>5507000</v>
      </c>
      <c r="G37" s="148">
        <f>SUM(G38:G49)</f>
        <v>0</v>
      </c>
      <c r="H37" s="148">
        <f t="shared" si="0"/>
        <v>5507000</v>
      </c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S37" s="226"/>
      <c r="BT37" s="226"/>
      <c r="BU37" s="226"/>
      <c r="BV37" s="226"/>
      <c r="BW37" s="226"/>
      <c r="BX37" s="226"/>
      <c r="BY37" s="226"/>
      <c r="BZ37" s="226"/>
      <c r="CA37" s="226"/>
      <c r="CB37" s="226"/>
      <c r="CC37" s="226"/>
      <c r="CD37" s="226"/>
      <c r="CE37" s="226"/>
      <c r="CF37" s="226"/>
      <c r="CG37" s="226"/>
      <c r="CH37" s="226"/>
      <c r="CI37" s="226"/>
      <c r="CJ37" s="226"/>
      <c r="CK37" s="226"/>
      <c r="CL37" s="226"/>
      <c r="CM37" s="226"/>
      <c r="CN37" s="226"/>
      <c r="CO37" s="226"/>
      <c r="CP37" s="226"/>
      <c r="CQ37" s="226"/>
      <c r="CR37" s="226"/>
      <c r="CS37" s="226"/>
      <c r="CT37" s="226"/>
      <c r="CU37" s="226"/>
      <c r="CV37" s="226"/>
      <c r="CW37" s="226"/>
      <c r="CX37" s="226"/>
      <c r="CY37" s="226"/>
      <c r="CZ37" s="226"/>
      <c r="DA37" s="226"/>
      <c r="DB37" s="226"/>
      <c r="DC37" s="226"/>
      <c r="DD37" s="226"/>
      <c r="DE37" s="226"/>
      <c r="DF37" s="226"/>
      <c r="DG37" s="226"/>
      <c r="DH37" s="226"/>
      <c r="DI37" s="226"/>
      <c r="DJ37" s="226"/>
      <c r="DK37" s="226"/>
      <c r="DL37" s="226"/>
      <c r="DM37" s="226"/>
      <c r="DN37" s="226"/>
      <c r="DO37" s="226"/>
      <c r="DP37" s="226"/>
      <c r="DQ37" s="226"/>
      <c r="DR37" s="226"/>
      <c r="DS37" s="226"/>
      <c r="DT37" s="226"/>
      <c r="DU37" s="226"/>
      <c r="DV37" s="226"/>
      <c r="DW37" s="226"/>
      <c r="DX37" s="226"/>
      <c r="DY37" s="226"/>
      <c r="DZ37" s="226"/>
      <c r="EA37" s="226"/>
      <c r="EB37" s="226"/>
      <c r="EC37" s="226"/>
      <c r="ED37" s="226"/>
      <c r="EE37" s="226"/>
      <c r="EF37" s="226"/>
      <c r="EG37" s="226"/>
      <c r="EH37" s="226"/>
      <c r="EI37" s="226"/>
      <c r="EJ37" s="226"/>
      <c r="EK37" s="226"/>
      <c r="EL37" s="226"/>
      <c r="EM37" s="226"/>
      <c r="EN37" s="226"/>
      <c r="EO37" s="226"/>
      <c r="EP37" s="226"/>
      <c r="EQ37" s="226"/>
      <c r="ER37" s="226"/>
      <c r="ES37" s="226"/>
      <c r="ET37" s="226"/>
      <c r="EU37" s="226"/>
      <c r="EV37" s="226"/>
      <c r="EW37" s="226"/>
      <c r="EX37" s="226"/>
      <c r="EY37" s="226"/>
      <c r="EZ37" s="226"/>
      <c r="FA37" s="226"/>
      <c r="FB37" s="226"/>
      <c r="FC37" s="226"/>
      <c r="FD37" s="226"/>
      <c r="FE37" s="226"/>
      <c r="FF37" s="226"/>
      <c r="FG37" s="226"/>
      <c r="FH37" s="226"/>
      <c r="FI37" s="226"/>
      <c r="FJ37" s="226"/>
      <c r="FK37" s="226"/>
      <c r="FL37" s="226"/>
      <c r="FM37" s="226"/>
      <c r="FN37" s="226"/>
      <c r="FO37" s="226"/>
      <c r="FP37" s="226"/>
      <c r="FQ37" s="226"/>
      <c r="FR37" s="226"/>
      <c r="FS37" s="226"/>
      <c r="FT37" s="226"/>
      <c r="FU37" s="226"/>
      <c r="FV37" s="226"/>
      <c r="FW37" s="226"/>
      <c r="FX37" s="226"/>
      <c r="FY37" s="226"/>
      <c r="FZ37" s="226"/>
      <c r="GA37" s="226"/>
      <c r="GB37" s="226"/>
      <c r="GC37" s="226"/>
      <c r="GD37" s="226"/>
      <c r="GE37" s="226"/>
      <c r="GF37" s="226"/>
      <c r="GG37" s="226"/>
      <c r="GH37" s="226"/>
      <c r="GI37" s="226"/>
      <c r="GJ37" s="226"/>
      <c r="GK37" s="226"/>
      <c r="GL37" s="226"/>
      <c r="GM37" s="226"/>
      <c r="GN37" s="226"/>
      <c r="GO37" s="226"/>
      <c r="GP37" s="226"/>
      <c r="GQ37" s="226"/>
      <c r="GR37" s="226"/>
      <c r="GS37" s="226"/>
      <c r="GT37" s="226"/>
      <c r="GU37" s="226"/>
      <c r="GV37" s="226"/>
      <c r="GW37" s="226"/>
      <c r="GX37" s="226"/>
      <c r="GY37" s="226"/>
      <c r="GZ37" s="226"/>
      <c r="HA37" s="226"/>
      <c r="HB37" s="226"/>
      <c r="HC37" s="226"/>
      <c r="HD37" s="226"/>
      <c r="HE37" s="226"/>
      <c r="HF37" s="226"/>
      <c r="HG37" s="226"/>
      <c r="HH37" s="226"/>
      <c r="HI37" s="226"/>
      <c r="HJ37" s="226"/>
    </row>
    <row r="38" spans="1:218" s="43" customFormat="1" ht="21.75" customHeight="1">
      <c r="A38" s="163"/>
      <c r="B38" s="89"/>
      <c r="C38" s="134">
        <v>3020</v>
      </c>
      <c r="D38" s="68" t="s">
        <v>343</v>
      </c>
      <c r="E38" s="148">
        <v>0</v>
      </c>
      <c r="F38" s="148">
        <v>2000</v>
      </c>
      <c r="G38" s="148"/>
      <c r="H38" s="148">
        <f t="shared" si="0"/>
        <v>2000</v>
      </c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6"/>
      <c r="BQ38" s="226"/>
      <c r="BR38" s="226"/>
      <c r="BS38" s="226"/>
      <c r="BT38" s="226"/>
      <c r="BU38" s="226"/>
      <c r="BV38" s="226"/>
      <c r="BW38" s="226"/>
      <c r="BX38" s="226"/>
      <c r="BY38" s="226"/>
      <c r="BZ38" s="226"/>
      <c r="CA38" s="226"/>
      <c r="CB38" s="226"/>
      <c r="CC38" s="226"/>
      <c r="CD38" s="226"/>
      <c r="CE38" s="226"/>
      <c r="CF38" s="226"/>
      <c r="CG38" s="226"/>
      <c r="CH38" s="226"/>
      <c r="CI38" s="226"/>
      <c r="CJ38" s="226"/>
      <c r="CK38" s="226"/>
      <c r="CL38" s="226"/>
      <c r="CM38" s="226"/>
      <c r="CN38" s="226"/>
      <c r="CO38" s="226"/>
      <c r="CP38" s="226"/>
      <c r="CQ38" s="226"/>
      <c r="CR38" s="226"/>
      <c r="CS38" s="226"/>
      <c r="CT38" s="226"/>
      <c r="CU38" s="226"/>
      <c r="CV38" s="226"/>
      <c r="CW38" s="226"/>
      <c r="CX38" s="226"/>
      <c r="CY38" s="226"/>
      <c r="CZ38" s="226"/>
      <c r="DA38" s="226"/>
      <c r="DB38" s="226"/>
      <c r="DC38" s="226"/>
      <c r="DD38" s="226"/>
      <c r="DE38" s="226"/>
      <c r="DF38" s="226"/>
      <c r="DG38" s="226"/>
      <c r="DH38" s="226"/>
      <c r="DI38" s="226"/>
      <c r="DJ38" s="226"/>
      <c r="DK38" s="226"/>
      <c r="DL38" s="226"/>
      <c r="DM38" s="226"/>
      <c r="DN38" s="226"/>
      <c r="DO38" s="226"/>
      <c r="DP38" s="226"/>
      <c r="DQ38" s="226"/>
      <c r="DR38" s="226"/>
      <c r="DS38" s="226"/>
      <c r="DT38" s="226"/>
      <c r="DU38" s="226"/>
      <c r="DV38" s="226"/>
      <c r="DW38" s="226"/>
      <c r="DX38" s="226"/>
      <c r="DY38" s="226"/>
      <c r="DZ38" s="226"/>
      <c r="EA38" s="226"/>
      <c r="EB38" s="226"/>
      <c r="EC38" s="226"/>
      <c r="ED38" s="226"/>
      <c r="EE38" s="226"/>
      <c r="EF38" s="226"/>
      <c r="EG38" s="226"/>
      <c r="EH38" s="226"/>
      <c r="EI38" s="226"/>
      <c r="EJ38" s="226"/>
      <c r="EK38" s="226"/>
      <c r="EL38" s="226"/>
      <c r="EM38" s="226"/>
      <c r="EN38" s="226"/>
      <c r="EO38" s="226"/>
      <c r="EP38" s="226"/>
      <c r="EQ38" s="226"/>
      <c r="ER38" s="226"/>
      <c r="ES38" s="226"/>
      <c r="ET38" s="226"/>
      <c r="EU38" s="226"/>
      <c r="EV38" s="226"/>
      <c r="EW38" s="226"/>
      <c r="EX38" s="226"/>
      <c r="EY38" s="226"/>
      <c r="EZ38" s="226"/>
      <c r="FA38" s="226"/>
      <c r="FB38" s="226"/>
      <c r="FC38" s="226"/>
      <c r="FD38" s="226"/>
      <c r="FE38" s="226"/>
      <c r="FF38" s="226"/>
      <c r="FG38" s="226"/>
      <c r="FH38" s="226"/>
      <c r="FI38" s="226"/>
      <c r="FJ38" s="226"/>
      <c r="FK38" s="226"/>
      <c r="FL38" s="226"/>
      <c r="FM38" s="226"/>
      <c r="FN38" s="226"/>
      <c r="FO38" s="226"/>
      <c r="FP38" s="226"/>
      <c r="FQ38" s="226"/>
      <c r="FR38" s="226"/>
      <c r="FS38" s="226"/>
      <c r="FT38" s="226"/>
      <c r="FU38" s="226"/>
      <c r="FV38" s="226"/>
      <c r="FW38" s="226"/>
      <c r="FX38" s="226"/>
      <c r="FY38" s="226"/>
      <c r="FZ38" s="226"/>
      <c r="GA38" s="226"/>
      <c r="GB38" s="226"/>
      <c r="GC38" s="226"/>
      <c r="GD38" s="226"/>
      <c r="GE38" s="226"/>
      <c r="GF38" s="226"/>
      <c r="GG38" s="226"/>
      <c r="GH38" s="226"/>
      <c r="GI38" s="226"/>
      <c r="GJ38" s="226"/>
      <c r="GK38" s="226"/>
      <c r="GL38" s="226"/>
      <c r="GM38" s="226"/>
      <c r="GN38" s="226"/>
      <c r="GO38" s="226"/>
      <c r="GP38" s="226"/>
      <c r="GQ38" s="226"/>
      <c r="GR38" s="226"/>
      <c r="GS38" s="226"/>
      <c r="GT38" s="226"/>
      <c r="GU38" s="226"/>
      <c r="GV38" s="226"/>
      <c r="GW38" s="226"/>
      <c r="GX38" s="226"/>
      <c r="GY38" s="226"/>
      <c r="GZ38" s="226"/>
      <c r="HA38" s="226"/>
      <c r="HB38" s="226"/>
      <c r="HC38" s="226"/>
      <c r="HD38" s="226"/>
      <c r="HE38" s="226"/>
      <c r="HF38" s="226"/>
      <c r="HG38" s="226"/>
      <c r="HH38" s="226"/>
      <c r="HI38" s="226"/>
      <c r="HJ38" s="226"/>
    </row>
    <row r="39" spans="1:218" s="43" customFormat="1" ht="21.75" customHeight="1">
      <c r="A39" s="163"/>
      <c r="B39" s="89"/>
      <c r="C39" s="134">
        <v>3110</v>
      </c>
      <c r="D39" s="132" t="s">
        <v>129</v>
      </c>
      <c r="E39" s="148">
        <v>0</v>
      </c>
      <c r="F39" s="148">
        <f>5346602-4812-23800</f>
        <v>5317990</v>
      </c>
      <c r="G39" s="148"/>
      <c r="H39" s="148">
        <f t="shared" si="0"/>
        <v>5317990</v>
      </c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6"/>
      <c r="BT39" s="226"/>
      <c r="BU39" s="226"/>
      <c r="BV39" s="226"/>
      <c r="BW39" s="226"/>
      <c r="BX39" s="226"/>
      <c r="BY39" s="226"/>
      <c r="BZ39" s="226"/>
      <c r="CA39" s="226"/>
      <c r="CB39" s="226"/>
      <c r="CC39" s="226"/>
      <c r="CD39" s="226"/>
      <c r="CE39" s="226"/>
      <c r="CF39" s="226"/>
      <c r="CG39" s="226"/>
      <c r="CH39" s="226"/>
      <c r="CI39" s="226"/>
      <c r="CJ39" s="226"/>
      <c r="CK39" s="226"/>
      <c r="CL39" s="226"/>
      <c r="CM39" s="226"/>
      <c r="CN39" s="226"/>
      <c r="CO39" s="226"/>
      <c r="CP39" s="226"/>
      <c r="CQ39" s="226"/>
      <c r="CR39" s="226"/>
      <c r="CS39" s="226"/>
      <c r="CT39" s="226"/>
      <c r="CU39" s="226"/>
      <c r="CV39" s="226"/>
      <c r="CW39" s="226"/>
      <c r="CX39" s="226"/>
      <c r="CY39" s="226"/>
      <c r="CZ39" s="226"/>
      <c r="DA39" s="226"/>
      <c r="DB39" s="226"/>
      <c r="DC39" s="226"/>
      <c r="DD39" s="226"/>
      <c r="DE39" s="226"/>
      <c r="DF39" s="226"/>
      <c r="DG39" s="226"/>
      <c r="DH39" s="226"/>
      <c r="DI39" s="226"/>
      <c r="DJ39" s="226"/>
      <c r="DK39" s="226"/>
      <c r="DL39" s="226"/>
      <c r="DM39" s="226"/>
      <c r="DN39" s="226"/>
      <c r="DO39" s="226"/>
      <c r="DP39" s="226"/>
      <c r="DQ39" s="226"/>
      <c r="DR39" s="226"/>
      <c r="DS39" s="226"/>
      <c r="DT39" s="226"/>
      <c r="DU39" s="226"/>
      <c r="DV39" s="226"/>
      <c r="DW39" s="226"/>
      <c r="DX39" s="226"/>
      <c r="DY39" s="226"/>
      <c r="DZ39" s="226"/>
      <c r="EA39" s="226"/>
      <c r="EB39" s="226"/>
      <c r="EC39" s="226"/>
      <c r="ED39" s="226"/>
      <c r="EE39" s="226"/>
      <c r="EF39" s="226"/>
      <c r="EG39" s="226"/>
      <c r="EH39" s="226"/>
      <c r="EI39" s="226"/>
      <c r="EJ39" s="226"/>
      <c r="EK39" s="226"/>
      <c r="EL39" s="226"/>
      <c r="EM39" s="226"/>
      <c r="EN39" s="226"/>
      <c r="EO39" s="226"/>
      <c r="EP39" s="226"/>
      <c r="EQ39" s="226"/>
      <c r="ER39" s="226"/>
      <c r="ES39" s="226"/>
      <c r="ET39" s="226"/>
      <c r="EU39" s="226"/>
      <c r="EV39" s="226"/>
      <c r="EW39" s="226"/>
      <c r="EX39" s="226"/>
      <c r="EY39" s="226"/>
      <c r="EZ39" s="226"/>
      <c r="FA39" s="226"/>
      <c r="FB39" s="226"/>
      <c r="FC39" s="226"/>
      <c r="FD39" s="226"/>
      <c r="FE39" s="226"/>
      <c r="FF39" s="226"/>
      <c r="FG39" s="226"/>
      <c r="FH39" s="226"/>
      <c r="FI39" s="226"/>
      <c r="FJ39" s="226"/>
      <c r="FK39" s="226"/>
      <c r="FL39" s="226"/>
      <c r="FM39" s="226"/>
      <c r="FN39" s="226"/>
      <c r="FO39" s="226"/>
      <c r="FP39" s="226"/>
      <c r="FQ39" s="226"/>
      <c r="FR39" s="226"/>
      <c r="FS39" s="226"/>
      <c r="FT39" s="226"/>
      <c r="FU39" s="226"/>
      <c r="FV39" s="226"/>
      <c r="FW39" s="226"/>
      <c r="FX39" s="226"/>
      <c r="FY39" s="226"/>
      <c r="FZ39" s="226"/>
      <c r="GA39" s="226"/>
      <c r="GB39" s="226"/>
      <c r="GC39" s="226"/>
      <c r="GD39" s="226"/>
      <c r="GE39" s="226"/>
      <c r="GF39" s="226"/>
      <c r="GG39" s="226"/>
      <c r="GH39" s="226"/>
      <c r="GI39" s="226"/>
      <c r="GJ39" s="226"/>
      <c r="GK39" s="226"/>
      <c r="GL39" s="226"/>
      <c r="GM39" s="226"/>
      <c r="GN39" s="226"/>
      <c r="GO39" s="226"/>
      <c r="GP39" s="226"/>
      <c r="GQ39" s="226"/>
      <c r="GR39" s="226"/>
      <c r="GS39" s="226"/>
      <c r="GT39" s="226"/>
      <c r="GU39" s="226"/>
      <c r="GV39" s="226"/>
      <c r="GW39" s="226"/>
      <c r="GX39" s="226"/>
      <c r="GY39" s="226"/>
      <c r="GZ39" s="226"/>
      <c r="HA39" s="226"/>
      <c r="HB39" s="226"/>
      <c r="HC39" s="226"/>
      <c r="HD39" s="226"/>
      <c r="HE39" s="226"/>
      <c r="HF39" s="226"/>
      <c r="HG39" s="226"/>
      <c r="HH39" s="226"/>
      <c r="HI39" s="226"/>
      <c r="HJ39" s="226"/>
    </row>
    <row r="40" spans="1:218" s="43" customFormat="1" ht="21.75" customHeight="1">
      <c r="A40" s="163"/>
      <c r="B40" s="89"/>
      <c r="C40" s="89">
        <v>4010</v>
      </c>
      <c r="D40" s="23" t="s">
        <v>98</v>
      </c>
      <c r="E40" s="148">
        <v>0</v>
      </c>
      <c r="F40" s="148">
        <v>86691</v>
      </c>
      <c r="G40" s="148"/>
      <c r="H40" s="148">
        <f t="shared" si="0"/>
        <v>86691</v>
      </c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6"/>
      <c r="BJ40" s="226"/>
      <c r="BK40" s="226"/>
      <c r="BL40" s="226"/>
      <c r="BM40" s="226"/>
      <c r="BN40" s="226"/>
      <c r="BO40" s="226"/>
      <c r="BP40" s="226"/>
      <c r="BQ40" s="226"/>
      <c r="BR40" s="226"/>
      <c r="BS40" s="226"/>
      <c r="BT40" s="226"/>
      <c r="BU40" s="226"/>
      <c r="BV40" s="226"/>
      <c r="BW40" s="226"/>
      <c r="BX40" s="226"/>
      <c r="BY40" s="226"/>
      <c r="BZ40" s="226"/>
      <c r="CA40" s="226"/>
      <c r="CB40" s="226"/>
      <c r="CC40" s="226"/>
      <c r="CD40" s="226"/>
      <c r="CE40" s="226"/>
      <c r="CF40" s="226"/>
      <c r="CG40" s="226"/>
      <c r="CH40" s="226"/>
      <c r="CI40" s="226"/>
      <c r="CJ40" s="226"/>
      <c r="CK40" s="226"/>
      <c r="CL40" s="226"/>
      <c r="CM40" s="226"/>
      <c r="CN40" s="226"/>
      <c r="CO40" s="226"/>
      <c r="CP40" s="226"/>
      <c r="CQ40" s="226"/>
      <c r="CR40" s="226"/>
      <c r="CS40" s="226"/>
      <c r="CT40" s="226"/>
      <c r="CU40" s="226"/>
      <c r="CV40" s="226"/>
      <c r="CW40" s="226"/>
      <c r="CX40" s="226"/>
      <c r="CY40" s="226"/>
      <c r="CZ40" s="226"/>
      <c r="DA40" s="226"/>
      <c r="DB40" s="226"/>
      <c r="DC40" s="226"/>
      <c r="DD40" s="226"/>
      <c r="DE40" s="226"/>
      <c r="DF40" s="226"/>
      <c r="DG40" s="226"/>
      <c r="DH40" s="226"/>
      <c r="DI40" s="226"/>
      <c r="DJ40" s="226"/>
      <c r="DK40" s="226"/>
      <c r="DL40" s="226"/>
      <c r="DM40" s="226"/>
      <c r="DN40" s="226"/>
      <c r="DO40" s="226"/>
      <c r="DP40" s="226"/>
      <c r="DQ40" s="226"/>
      <c r="DR40" s="226"/>
      <c r="DS40" s="226"/>
      <c r="DT40" s="226"/>
      <c r="DU40" s="226"/>
      <c r="DV40" s="226"/>
      <c r="DW40" s="226"/>
      <c r="DX40" s="226"/>
      <c r="DY40" s="226"/>
      <c r="DZ40" s="226"/>
      <c r="EA40" s="226"/>
      <c r="EB40" s="226"/>
      <c r="EC40" s="226"/>
      <c r="ED40" s="226"/>
      <c r="EE40" s="226"/>
      <c r="EF40" s="226"/>
      <c r="EG40" s="226"/>
      <c r="EH40" s="226"/>
      <c r="EI40" s="226"/>
      <c r="EJ40" s="226"/>
      <c r="EK40" s="226"/>
      <c r="EL40" s="226"/>
      <c r="EM40" s="226"/>
      <c r="EN40" s="226"/>
      <c r="EO40" s="226"/>
      <c r="EP40" s="226"/>
      <c r="EQ40" s="226"/>
      <c r="ER40" s="226"/>
      <c r="ES40" s="226"/>
      <c r="ET40" s="226"/>
      <c r="EU40" s="226"/>
      <c r="EV40" s="226"/>
      <c r="EW40" s="226"/>
      <c r="EX40" s="226"/>
      <c r="EY40" s="226"/>
      <c r="EZ40" s="226"/>
      <c r="FA40" s="226"/>
      <c r="FB40" s="226"/>
      <c r="FC40" s="226"/>
      <c r="FD40" s="226"/>
      <c r="FE40" s="226"/>
      <c r="FF40" s="226"/>
      <c r="FG40" s="226"/>
      <c r="FH40" s="226"/>
      <c r="FI40" s="226"/>
      <c r="FJ40" s="226"/>
      <c r="FK40" s="226"/>
      <c r="FL40" s="226"/>
      <c r="FM40" s="226"/>
      <c r="FN40" s="226"/>
      <c r="FO40" s="226"/>
      <c r="FP40" s="226"/>
      <c r="FQ40" s="226"/>
      <c r="FR40" s="226"/>
      <c r="FS40" s="226"/>
      <c r="FT40" s="226"/>
      <c r="FU40" s="226"/>
      <c r="FV40" s="226"/>
      <c r="FW40" s="226"/>
      <c r="FX40" s="226"/>
      <c r="FY40" s="226"/>
      <c r="FZ40" s="226"/>
      <c r="GA40" s="226"/>
      <c r="GB40" s="226"/>
      <c r="GC40" s="226"/>
      <c r="GD40" s="226"/>
      <c r="GE40" s="226"/>
      <c r="GF40" s="226"/>
      <c r="GG40" s="226"/>
      <c r="GH40" s="226"/>
      <c r="GI40" s="226"/>
      <c r="GJ40" s="226"/>
      <c r="GK40" s="226"/>
      <c r="GL40" s="226"/>
      <c r="GM40" s="226"/>
      <c r="GN40" s="226"/>
      <c r="GO40" s="226"/>
      <c r="GP40" s="226"/>
      <c r="GQ40" s="226"/>
      <c r="GR40" s="226"/>
      <c r="GS40" s="226"/>
      <c r="GT40" s="226"/>
      <c r="GU40" s="226"/>
      <c r="GV40" s="226"/>
      <c r="GW40" s="226"/>
      <c r="GX40" s="226"/>
      <c r="GY40" s="226"/>
      <c r="GZ40" s="226"/>
      <c r="HA40" s="226"/>
      <c r="HB40" s="226"/>
      <c r="HC40" s="226"/>
      <c r="HD40" s="226"/>
      <c r="HE40" s="226"/>
      <c r="HF40" s="226"/>
      <c r="HG40" s="226"/>
      <c r="HH40" s="226"/>
      <c r="HI40" s="226"/>
      <c r="HJ40" s="226"/>
    </row>
    <row r="41" spans="1:218" s="43" customFormat="1" ht="21.75" customHeight="1">
      <c r="A41" s="163"/>
      <c r="B41" s="89"/>
      <c r="C41" s="89">
        <v>4040</v>
      </c>
      <c r="D41" s="23" t="s">
        <v>99</v>
      </c>
      <c r="E41" s="148">
        <v>0</v>
      </c>
      <c r="F41" s="148">
        <v>7500</v>
      </c>
      <c r="G41" s="148"/>
      <c r="H41" s="148">
        <f t="shared" si="0"/>
        <v>7500</v>
      </c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6"/>
      <c r="BJ41" s="226"/>
      <c r="BK41" s="226"/>
      <c r="BL41" s="226"/>
      <c r="BM41" s="226"/>
      <c r="BN41" s="226"/>
      <c r="BO41" s="226"/>
      <c r="BP41" s="226"/>
      <c r="BQ41" s="226"/>
      <c r="BR41" s="226"/>
      <c r="BS41" s="226"/>
      <c r="BT41" s="226"/>
      <c r="BU41" s="226"/>
      <c r="BV41" s="226"/>
      <c r="BW41" s="226"/>
      <c r="BX41" s="226"/>
      <c r="BY41" s="226"/>
      <c r="BZ41" s="226"/>
      <c r="CA41" s="226"/>
      <c r="CB41" s="226"/>
      <c r="CC41" s="226"/>
      <c r="CD41" s="226"/>
      <c r="CE41" s="226"/>
      <c r="CF41" s="226"/>
      <c r="CG41" s="226"/>
      <c r="CH41" s="226"/>
      <c r="CI41" s="226"/>
      <c r="CJ41" s="226"/>
      <c r="CK41" s="226"/>
      <c r="CL41" s="226"/>
      <c r="CM41" s="226"/>
      <c r="CN41" s="226"/>
      <c r="CO41" s="226"/>
      <c r="CP41" s="226"/>
      <c r="CQ41" s="226"/>
      <c r="CR41" s="226"/>
      <c r="CS41" s="226"/>
      <c r="CT41" s="226"/>
      <c r="CU41" s="226"/>
      <c r="CV41" s="226"/>
      <c r="CW41" s="226"/>
      <c r="CX41" s="226"/>
      <c r="CY41" s="226"/>
      <c r="CZ41" s="226"/>
      <c r="DA41" s="226"/>
      <c r="DB41" s="226"/>
      <c r="DC41" s="226"/>
      <c r="DD41" s="226"/>
      <c r="DE41" s="226"/>
      <c r="DF41" s="226"/>
      <c r="DG41" s="226"/>
      <c r="DH41" s="226"/>
      <c r="DI41" s="226"/>
      <c r="DJ41" s="226"/>
      <c r="DK41" s="226"/>
      <c r="DL41" s="226"/>
      <c r="DM41" s="226"/>
      <c r="DN41" s="226"/>
      <c r="DO41" s="226"/>
      <c r="DP41" s="226"/>
      <c r="DQ41" s="226"/>
      <c r="DR41" s="226"/>
      <c r="DS41" s="226"/>
      <c r="DT41" s="226"/>
      <c r="DU41" s="226"/>
      <c r="DV41" s="226"/>
      <c r="DW41" s="226"/>
      <c r="DX41" s="226"/>
      <c r="DY41" s="226"/>
      <c r="DZ41" s="226"/>
      <c r="EA41" s="226"/>
      <c r="EB41" s="226"/>
      <c r="EC41" s="226"/>
      <c r="ED41" s="226"/>
      <c r="EE41" s="226"/>
      <c r="EF41" s="226"/>
      <c r="EG41" s="226"/>
      <c r="EH41" s="226"/>
      <c r="EI41" s="226"/>
      <c r="EJ41" s="226"/>
      <c r="EK41" s="226"/>
      <c r="EL41" s="226"/>
      <c r="EM41" s="226"/>
      <c r="EN41" s="226"/>
      <c r="EO41" s="226"/>
      <c r="EP41" s="226"/>
      <c r="EQ41" s="226"/>
      <c r="ER41" s="226"/>
      <c r="ES41" s="226"/>
      <c r="ET41" s="226"/>
      <c r="EU41" s="226"/>
      <c r="EV41" s="226"/>
      <c r="EW41" s="226"/>
      <c r="EX41" s="226"/>
      <c r="EY41" s="226"/>
      <c r="EZ41" s="226"/>
      <c r="FA41" s="226"/>
      <c r="FB41" s="226"/>
      <c r="FC41" s="226"/>
      <c r="FD41" s="226"/>
      <c r="FE41" s="226"/>
      <c r="FF41" s="226"/>
      <c r="FG41" s="226"/>
      <c r="FH41" s="226"/>
      <c r="FI41" s="226"/>
      <c r="FJ41" s="226"/>
      <c r="FK41" s="226"/>
      <c r="FL41" s="226"/>
      <c r="FM41" s="226"/>
      <c r="FN41" s="226"/>
      <c r="FO41" s="226"/>
      <c r="FP41" s="226"/>
      <c r="FQ41" s="226"/>
      <c r="FR41" s="226"/>
      <c r="FS41" s="226"/>
      <c r="FT41" s="226"/>
      <c r="FU41" s="226"/>
      <c r="FV41" s="226"/>
      <c r="FW41" s="226"/>
      <c r="FX41" s="226"/>
      <c r="FY41" s="226"/>
      <c r="FZ41" s="226"/>
      <c r="GA41" s="226"/>
      <c r="GB41" s="226"/>
      <c r="GC41" s="226"/>
      <c r="GD41" s="226"/>
      <c r="GE41" s="226"/>
      <c r="GF41" s="226"/>
      <c r="GG41" s="226"/>
      <c r="GH41" s="226"/>
      <c r="GI41" s="226"/>
      <c r="GJ41" s="226"/>
      <c r="GK41" s="226"/>
      <c r="GL41" s="226"/>
      <c r="GM41" s="226"/>
      <c r="GN41" s="226"/>
      <c r="GO41" s="226"/>
      <c r="GP41" s="226"/>
      <c r="GQ41" s="226"/>
      <c r="GR41" s="226"/>
      <c r="GS41" s="226"/>
      <c r="GT41" s="226"/>
      <c r="GU41" s="226"/>
      <c r="GV41" s="226"/>
      <c r="GW41" s="226"/>
      <c r="GX41" s="226"/>
      <c r="GY41" s="226"/>
      <c r="GZ41" s="226"/>
      <c r="HA41" s="226"/>
      <c r="HB41" s="226"/>
      <c r="HC41" s="226"/>
      <c r="HD41" s="226"/>
      <c r="HE41" s="226"/>
      <c r="HF41" s="226"/>
      <c r="HG41" s="226"/>
      <c r="HH41" s="226"/>
      <c r="HI41" s="226"/>
      <c r="HJ41" s="226"/>
    </row>
    <row r="42" spans="1:218" s="43" customFormat="1" ht="21.75" customHeight="1">
      <c r="A42" s="163"/>
      <c r="B42" s="89"/>
      <c r="C42" s="89">
        <v>4110</v>
      </c>
      <c r="D42" s="23" t="s">
        <v>100</v>
      </c>
      <c r="E42" s="148">
        <v>0</v>
      </c>
      <c r="F42" s="148">
        <f>16800+23800</f>
        <v>40600</v>
      </c>
      <c r="G42" s="148"/>
      <c r="H42" s="148">
        <f t="shared" si="0"/>
        <v>40600</v>
      </c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  <c r="BP42" s="226"/>
      <c r="BQ42" s="226"/>
      <c r="BR42" s="226"/>
      <c r="BS42" s="226"/>
      <c r="BT42" s="226"/>
      <c r="BU42" s="226"/>
      <c r="BV42" s="226"/>
      <c r="BW42" s="226"/>
      <c r="BX42" s="226"/>
      <c r="BY42" s="226"/>
      <c r="BZ42" s="226"/>
      <c r="CA42" s="226"/>
      <c r="CB42" s="226"/>
      <c r="CC42" s="226"/>
      <c r="CD42" s="226"/>
      <c r="CE42" s="226"/>
      <c r="CF42" s="226"/>
      <c r="CG42" s="226"/>
      <c r="CH42" s="226"/>
      <c r="CI42" s="226"/>
      <c r="CJ42" s="226"/>
      <c r="CK42" s="226"/>
      <c r="CL42" s="226"/>
      <c r="CM42" s="226"/>
      <c r="CN42" s="226"/>
      <c r="CO42" s="226"/>
      <c r="CP42" s="226"/>
      <c r="CQ42" s="226"/>
      <c r="CR42" s="226"/>
      <c r="CS42" s="226"/>
      <c r="CT42" s="226"/>
      <c r="CU42" s="226"/>
      <c r="CV42" s="226"/>
      <c r="CW42" s="226"/>
      <c r="CX42" s="226"/>
      <c r="CY42" s="226"/>
      <c r="CZ42" s="226"/>
      <c r="DA42" s="226"/>
      <c r="DB42" s="226"/>
      <c r="DC42" s="226"/>
      <c r="DD42" s="226"/>
      <c r="DE42" s="226"/>
      <c r="DF42" s="226"/>
      <c r="DG42" s="226"/>
      <c r="DH42" s="226"/>
      <c r="DI42" s="226"/>
      <c r="DJ42" s="226"/>
      <c r="DK42" s="226"/>
      <c r="DL42" s="226"/>
      <c r="DM42" s="226"/>
      <c r="DN42" s="226"/>
      <c r="DO42" s="226"/>
      <c r="DP42" s="226"/>
      <c r="DQ42" s="226"/>
      <c r="DR42" s="226"/>
      <c r="DS42" s="226"/>
      <c r="DT42" s="226"/>
      <c r="DU42" s="226"/>
      <c r="DV42" s="226"/>
      <c r="DW42" s="226"/>
      <c r="DX42" s="226"/>
      <c r="DY42" s="226"/>
      <c r="DZ42" s="226"/>
      <c r="EA42" s="226"/>
      <c r="EB42" s="226"/>
      <c r="EC42" s="226"/>
      <c r="ED42" s="226"/>
      <c r="EE42" s="226"/>
      <c r="EF42" s="226"/>
      <c r="EG42" s="226"/>
      <c r="EH42" s="226"/>
      <c r="EI42" s="226"/>
      <c r="EJ42" s="226"/>
      <c r="EK42" s="226"/>
      <c r="EL42" s="226"/>
      <c r="EM42" s="226"/>
      <c r="EN42" s="226"/>
      <c r="EO42" s="226"/>
      <c r="EP42" s="226"/>
      <c r="EQ42" s="226"/>
      <c r="ER42" s="226"/>
      <c r="ES42" s="226"/>
      <c r="ET42" s="226"/>
      <c r="EU42" s="226"/>
      <c r="EV42" s="226"/>
      <c r="EW42" s="226"/>
      <c r="EX42" s="226"/>
      <c r="EY42" s="226"/>
      <c r="EZ42" s="226"/>
      <c r="FA42" s="226"/>
      <c r="FB42" s="226"/>
      <c r="FC42" s="226"/>
      <c r="FD42" s="226"/>
      <c r="FE42" s="226"/>
      <c r="FF42" s="226"/>
      <c r="FG42" s="226"/>
      <c r="FH42" s="226"/>
      <c r="FI42" s="226"/>
      <c r="FJ42" s="226"/>
      <c r="FK42" s="226"/>
      <c r="FL42" s="226"/>
      <c r="FM42" s="226"/>
      <c r="FN42" s="226"/>
      <c r="FO42" s="226"/>
      <c r="FP42" s="226"/>
      <c r="FQ42" s="226"/>
      <c r="FR42" s="226"/>
      <c r="FS42" s="226"/>
      <c r="FT42" s="226"/>
      <c r="FU42" s="226"/>
      <c r="FV42" s="226"/>
      <c r="FW42" s="226"/>
      <c r="FX42" s="226"/>
      <c r="FY42" s="226"/>
      <c r="FZ42" s="226"/>
      <c r="GA42" s="226"/>
      <c r="GB42" s="226"/>
      <c r="GC42" s="226"/>
      <c r="GD42" s="226"/>
      <c r="GE42" s="226"/>
      <c r="GF42" s="226"/>
      <c r="GG42" s="226"/>
      <c r="GH42" s="226"/>
      <c r="GI42" s="226"/>
      <c r="GJ42" s="226"/>
      <c r="GK42" s="226"/>
      <c r="GL42" s="226"/>
      <c r="GM42" s="226"/>
      <c r="GN42" s="226"/>
      <c r="GO42" s="226"/>
      <c r="GP42" s="226"/>
      <c r="GQ42" s="226"/>
      <c r="GR42" s="226"/>
      <c r="GS42" s="226"/>
      <c r="GT42" s="226"/>
      <c r="GU42" s="226"/>
      <c r="GV42" s="226"/>
      <c r="GW42" s="226"/>
      <c r="GX42" s="226"/>
      <c r="GY42" s="226"/>
      <c r="GZ42" s="226"/>
      <c r="HA42" s="226"/>
      <c r="HB42" s="226"/>
      <c r="HC42" s="226"/>
      <c r="HD42" s="226"/>
      <c r="HE42" s="226"/>
      <c r="HF42" s="226"/>
      <c r="HG42" s="226"/>
      <c r="HH42" s="226"/>
      <c r="HI42" s="226"/>
      <c r="HJ42" s="226"/>
    </row>
    <row r="43" spans="1:218" s="43" customFormat="1" ht="21.75" customHeight="1">
      <c r="A43" s="163"/>
      <c r="B43" s="89"/>
      <c r="C43" s="89">
        <v>4120</v>
      </c>
      <c r="D43" s="23" t="s">
        <v>101</v>
      </c>
      <c r="E43" s="148">
        <v>0</v>
      </c>
      <c r="F43" s="148">
        <v>2300</v>
      </c>
      <c r="G43" s="148"/>
      <c r="H43" s="148">
        <f t="shared" si="0"/>
        <v>2300</v>
      </c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6"/>
      <c r="BJ43" s="226"/>
      <c r="BK43" s="226"/>
      <c r="BL43" s="226"/>
      <c r="BM43" s="226"/>
      <c r="BN43" s="226"/>
      <c r="BO43" s="226"/>
      <c r="BP43" s="226"/>
      <c r="BQ43" s="226"/>
      <c r="BR43" s="226"/>
      <c r="BS43" s="226"/>
      <c r="BT43" s="226"/>
      <c r="BU43" s="226"/>
      <c r="BV43" s="226"/>
      <c r="BW43" s="226"/>
      <c r="BX43" s="226"/>
      <c r="BY43" s="226"/>
      <c r="BZ43" s="226"/>
      <c r="CA43" s="226"/>
      <c r="CB43" s="226"/>
      <c r="CC43" s="226"/>
      <c r="CD43" s="226"/>
      <c r="CE43" s="226"/>
      <c r="CF43" s="226"/>
      <c r="CG43" s="226"/>
      <c r="CH43" s="226"/>
      <c r="CI43" s="226"/>
      <c r="CJ43" s="226"/>
      <c r="CK43" s="226"/>
      <c r="CL43" s="226"/>
      <c r="CM43" s="226"/>
      <c r="CN43" s="226"/>
      <c r="CO43" s="226"/>
      <c r="CP43" s="226"/>
      <c r="CQ43" s="226"/>
      <c r="CR43" s="226"/>
      <c r="CS43" s="226"/>
      <c r="CT43" s="226"/>
      <c r="CU43" s="226"/>
      <c r="CV43" s="226"/>
      <c r="CW43" s="226"/>
      <c r="CX43" s="226"/>
      <c r="CY43" s="226"/>
      <c r="CZ43" s="226"/>
      <c r="DA43" s="226"/>
      <c r="DB43" s="226"/>
      <c r="DC43" s="226"/>
      <c r="DD43" s="226"/>
      <c r="DE43" s="226"/>
      <c r="DF43" s="226"/>
      <c r="DG43" s="226"/>
      <c r="DH43" s="226"/>
      <c r="DI43" s="226"/>
      <c r="DJ43" s="226"/>
      <c r="DK43" s="226"/>
      <c r="DL43" s="226"/>
      <c r="DM43" s="226"/>
      <c r="DN43" s="226"/>
      <c r="DO43" s="226"/>
      <c r="DP43" s="226"/>
      <c r="DQ43" s="226"/>
      <c r="DR43" s="226"/>
      <c r="DS43" s="226"/>
      <c r="DT43" s="226"/>
      <c r="DU43" s="226"/>
      <c r="DV43" s="226"/>
      <c r="DW43" s="226"/>
      <c r="DX43" s="226"/>
      <c r="DY43" s="226"/>
      <c r="DZ43" s="226"/>
      <c r="EA43" s="226"/>
      <c r="EB43" s="226"/>
      <c r="EC43" s="226"/>
      <c r="ED43" s="226"/>
      <c r="EE43" s="226"/>
      <c r="EF43" s="226"/>
      <c r="EG43" s="226"/>
      <c r="EH43" s="226"/>
      <c r="EI43" s="226"/>
      <c r="EJ43" s="226"/>
      <c r="EK43" s="226"/>
      <c r="EL43" s="226"/>
      <c r="EM43" s="226"/>
      <c r="EN43" s="226"/>
      <c r="EO43" s="226"/>
      <c r="EP43" s="226"/>
      <c r="EQ43" s="226"/>
      <c r="ER43" s="226"/>
      <c r="ES43" s="226"/>
      <c r="ET43" s="226"/>
      <c r="EU43" s="226"/>
      <c r="EV43" s="226"/>
      <c r="EW43" s="226"/>
      <c r="EX43" s="226"/>
      <c r="EY43" s="226"/>
      <c r="EZ43" s="226"/>
      <c r="FA43" s="226"/>
      <c r="FB43" s="226"/>
      <c r="FC43" s="226"/>
      <c r="FD43" s="226"/>
      <c r="FE43" s="226"/>
      <c r="FF43" s="226"/>
      <c r="FG43" s="226"/>
      <c r="FH43" s="226"/>
      <c r="FI43" s="226"/>
      <c r="FJ43" s="226"/>
      <c r="FK43" s="226"/>
      <c r="FL43" s="226"/>
      <c r="FM43" s="226"/>
      <c r="FN43" s="226"/>
      <c r="FO43" s="226"/>
      <c r="FP43" s="226"/>
      <c r="FQ43" s="226"/>
      <c r="FR43" s="226"/>
      <c r="FS43" s="226"/>
      <c r="FT43" s="226"/>
      <c r="FU43" s="226"/>
      <c r="FV43" s="226"/>
      <c r="FW43" s="226"/>
      <c r="FX43" s="226"/>
      <c r="FY43" s="226"/>
      <c r="FZ43" s="226"/>
      <c r="GA43" s="226"/>
      <c r="GB43" s="226"/>
      <c r="GC43" s="226"/>
      <c r="GD43" s="226"/>
      <c r="GE43" s="226"/>
      <c r="GF43" s="226"/>
      <c r="GG43" s="226"/>
      <c r="GH43" s="226"/>
      <c r="GI43" s="226"/>
      <c r="GJ43" s="226"/>
      <c r="GK43" s="226"/>
      <c r="GL43" s="226"/>
      <c r="GM43" s="226"/>
      <c r="GN43" s="226"/>
      <c r="GO43" s="226"/>
      <c r="GP43" s="226"/>
      <c r="GQ43" s="226"/>
      <c r="GR43" s="226"/>
      <c r="GS43" s="226"/>
      <c r="GT43" s="226"/>
      <c r="GU43" s="226"/>
      <c r="GV43" s="226"/>
      <c r="GW43" s="226"/>
      <c r="GX43" s="226"/>
      <c r="GY43" s="226"/>
      <c r="GZ43" s="226"/>
      <c r="HA43" s="226"/>
      <c r="HB43" s="226"/>
      <c r="HC43" s="226"/>
      <c r="HD43" s="226"/>
      <c r="HE43" s="226"/>
      <c r="HF43" s="226"/>
      <c r="HG43" s="226"/>
      <c r="HH43" s="226"/>
      <c r="HI43" s="226"/>
      <c r="HJ43" s="226"/>
    </row>
    <row r="44" spans="1:218" s="43" customFormat="1" ht="21.75" customHeight="1">
      <c r="A44" s="163"/>
      <c r="B44" s="89"/>
      <c r="C44" s="89">
        <v>4170</v>
      </c>
      <c r="D44" s="23" t="s">
        <v>294</v>
      </c>
      <c r="E44" s="148">
        <v>0</v>
      </c>
      <c r="F44" s="148">
        <v>3000</v>
      </c>
      <c r="G44" s="148"/>
      <c r="H44" s="148">
        <f t="shared" si="0"/>
        <v>3000</v>
      </c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  <c r="BI44" s="226"/>
      <c r="BJ44" s="226"/>
      <c r="BK44" s="226"/>
      <c r="BL44" s="226"/>
      <c r="BM44" s="226"/>
      <c r="BN44" s="226"/>
      <c r="BO44" s="226"/>
      <c r="BP44" s="226"/>
      <c r="BQ44" s="226"/>
      <c r="BR44" s="226"/>
      <c r="BS44" s="226"/>
      <c r="BT44" s="226"/>
      <c r="BU44" s="226"/>
      <c r="BV44" s="226"/>
      <c r="BW44" s="226"/>
      <c r="BX44" s="226"/>
      <c r="BY44" s="226"/>
      <c r="BZ44" s="226"/>
      <c r="CA44" s="226"/>
      <c r="CB44" s="226"/>
      <c r="CC44" s="226"/>
      <c r="CD44" s="226"/>
      <c r="CE44" s="226"/>
      <c r="CF44" s="226"/>
      <c r="CG44" s="226"/>
      <c r="CH44" s="226"/>
      <c r="CI44" s="226"/>
      <c r="CJ44" s="226"/>
      <c r="CK44" s="226"/>
      <c r="CL44" s="226"/>
      <c r="CM44" s="226"/>
      <c r="CN44" s="226"/>
      <c r="CO44" s="226"/>
      <c r="CP44" s="226"/>
      <c r="CQ44" s="226"/>
      <c r="CR44" s="226"/>
      <c r="CS44" s="226"/>
      <c r="CT44" s="226"/>
      <c r="CU44" s="226"/>
      <c r="CV44" s="226"/>
      <c r="CW44" s="226"/>
      <c r="CX44" s="226"/>
      <c r="CY44" s="226"/>
      <c r="CZ44" s="226"/>
      <c r="DA44" s="226"/>
      <c r="DB44" s="226"/>
      <c r="DC44" s="226"/>
      <c r="DD44" s="226"/>
      <c r="DE44" s="226"/>
      <c r="DF44" s="226"/>
      <c r="DG44" s="226"/>
      <c r="DH44" s="226"/>
      <c r="DI44" s="226"/>
      <c r="DJ44" s="226"/>
      <c r="DK44" s="226"/>
      <c r="DL44" s="226"/>
      <c r="DM44" s="226"/>
      <c r="DN44" s="226"/>
      <c r="DO44" s="226"/>
      <c r="DP44" s="226"/>
      <c r="DQ44" s="226"/>
      <c r="DR44" s="226"/>
      <c r="DS44" s="226"/>
      <c r="DT44" s="226"/>
      <c r="DU44" s="226"/>
      <c r="DV44" s="226"/>
      <c r="DW44" s="226"/>
      <c r="DX44" s="226"/>
      <c r="DY44" s="226"/>
      <c r="DZ44" s="226"/>
      <c r="EA44" s="226"/>
      <c r="EB44" s="226"/>
      <c r="EC44" s="226"/>
      <c r="ED44" s="226"/>
      <c r="EE44" s="226"/>
      <c r="EF44" s="226"/>
      <c r="EG44" s="226"/>
      <c r="EH44" s="226"/>
      <c r="EI44" s="226"/>
      <c r="EJ44" s="226"/>
      <c r="EK44" s="226"/>
      <c r="EL44" s="226"/>
      <c r="EM44" s="226"/>
      <c r="EN44" s="226"/>
      <c r="EO44" s="226"/>
      <c r="EP44" s="226"/>
      <c r="EQ44" s="226"/>
      <c r="ER44" s="226"/>
      <c r="ES44" s="226"/>
      <c r="ET44" s="226"/>
      <c r="EU44" s="226"/>
      <c r="EV44" s="226"/>
      <c r="EW44" s="226"/>
      <c r="EX44" s="226"/>
      <c r="EY44" s="226"/>
      <c r="EZ44" s="226"/>
      <c r="FA44" s="226"/>
      <c r="FB44" s="226"/>
      <c r="FC44" s="226"/>
      <c r="FD44" s="226"/>
      <c r="FE44" s="226"/>
      <c r="FF44" s="226"/>
      <c r="FG44" s="226"/>
      <c r="FH44" s="226"/>
      <c r="FI44" s="226"/>
      <c r="FJ44" s="226"/>
      <c r="FK44" s="226"/>
      <c r="FL44" s="226"/>
      <c r="FM44" s="226"/>
      <c r="FN44" s="226"/>
      <c r="FO44" s="226"/>
      <c r="FP44" s="226"/>
      <c r="FQ44" s="226"/>
      <c r="FR44" s="226"/>
      <c r="FS44" s="226"/>
      <c r="FT44" s="226"/>
      <c r="FU44" s="226"/>
      <c r="FV44" s="226"/>
      <c r="FW44" s="226"/>
      <c r="FX44" s="226"/>
      <c r="FY44" s="226"/>
      <c r="FZ44" s="226"/>
      <c r="GA44" s="226"/>
      <c r="GB44" s="226"/>
      <c r="GC44" s="226"/>
      <c r="GD44" s="226"/>
      <c r="GE44" s="226"/>
      <c r="GF44" s="226"/>
      <c r="GG44" s="226"/>
      <c r="GH44" s="226"/>
      <c r="GI44" s="226"/>
      <c r="GJ44" s="226"/>
      <c r="GK44" s="226"/>
      <c r="GL44" s="226"/>
      <c r="GM44" s="226"/>
      <c r="GN44" s="226"/>
      <c r="GO44" s="226"/>
      <c r="GP44" s="226"/>
      <c r="GQ44" s="226"/>
      <c r="GR44" s="226"/>
      <c r="GS44" s="226"/>
      <c r="GT44" s="226"/>
      <c r="GU44" s="226"/>
      <c r="GV44" s="226"/>
      <c r="GW44" s="226"/>
      <c r="GX44" s="226"/>
      <c r="GY44" s="226"/>
      <c r="GZ44" s="226"/>
      <c r="HA44" s="226"/>
      <c r="HB44" s="226"/>
      <c r="HC44" s="226"/>
      <c r="HD44" s="226"/>
      <c r="HE44" s="226"/>
      <c r="HF44" s="226"/>
      <c r="HG44" s="226"/>
      <c r="HH44" s="226"/>
      <c r="HI44" s="226"/>
      <c r="HJ44" s="226"/>
    </row>
    <row r="45" spans="1:218" s="43" customFormat="1" ht="21.75" customHeight="1">
      <c r="A45" s="163"/>
      <c r="B45" s="89"/>
      <c r="C45" s="89">
        <v>4210</v>
      </c>
      <c r="D45" s="23" t="s">
        <v>106</v>
      </c>
      <c r="E45" s="148">
        <v>0</v>
      </c>
      <c r="F45" s="148">
        <f>9000+4812</f>
        <v>13812</v>
      </c>
      <c r="G45" s="148"/>
      <c r="H45" s="148">
        <f t="shared" si="0"/>
        <v>13812</v>
      </c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6"/>
      <c r="BJ45" s="226"/>
      <c r="BK45" s="226"/>
      <c r="BL45" s="226"/>
      <c r="BM45" s="226"/>
      <c r="BN45" s="226"/>
      <c r="BO45" s="226"/>
      <c r="BP45" s="226"/>
      <c r="BQ45" s="226"/>
      <c r="BR45" s="226"/>
      <c r="BS45" s="226"/>
      <c r="BT45" s="226"/>
      <c r="BU45" s="226"/>
      <c r="BV45" s="226"/>
      <c r="BW45" s="226"/>
      <c r="BX45" s="226"/>
      <c r="BY45" s="226"/>
      <c r="BZ45" s="226"/>
      <c r="CA45" s="226"/>
      <c r="CB45" s="226"/>
      <c r="CC45" s="226"/>
      <c r="CD45" s="226"/>
      <c r="CE45" s="226"/>
      <c r="CF45" s="226"/>
      <c r="CG45" s="226"/>
      <c r="CH45" s="226"/>
      <c r="CI45" s="226"/>
      <c r="CJ45" s="226"/>
      <c r="CK45" s="226"/>
      <c r="CL45" s="226"/>
      <c r="CM45" s="226"/>
      <c r="CN45" s="226"/>
      <c r="CO45" s="226"/>
      <c r="CP45" s="226"/>
      <c r="CQ45" s="226"/>
      <c r="CR45" s="226"/>
      <c r="CS45" s="226"/>
      <c r="CT45" s="226"/>
      <c r="CU45" s="226"/>
      <c r="CV45" s="226"/>
      <c r="CW45" s="226"/>
      <c r="CX45" s="226"/>
      <c r="CY45" s="226"/>
      <c r="CZ45" s="226"/>
      <c r="DA45" s="226"/>
      <c r="DB45" s="226"/>
      <c r="DC45" s="226"/>
      <c r="DD45" s="226"/>
      <c r="DE45" s="226"/>
      <c r="DF45" s="226"/>
      <c r="DG45" s="226"/>
      <c r="DH45" s="226"/>
      <c r="DI45" s="226"/>
      <c r="DJ45" s="226"/>
      <c r="DK45" s="226"/>
      <c r="DL45" s="226"/>
      <c r="DM45" s="226"/>
      <c r="DN45" s="226"/>
      <c r="DO45" s="226"/>
      <c r="DP45" s="226"/>
      <c r="DQ45" s="226"/>
      <c r="DR45" s="226"/>
      <c r="DS45" s="226"/>
      <c r="DT45" s="226"/>
      <c r="DU45" s="226"/>
      <c r="DV45" s="226"/>
      <c r="DW45" s="226"/>
      <c r="DX45" s="226"/>
      <c r="DY45" s="226"/>
      <c r="DZ45" s="226"/>
      <c r="EA45" s="226"/>
      <c r="EB45" s="226"/>
      <c r="EC45" s="226"/>
      <c r="ED45" s="226"/>
      <c r="EE45" s="226"/>
      <c r="EF45" s="226"/>
      <c r="EG45" s="226"/>
      <c r="EH45" s="226"/>
      <c r="EI45" s="226"/>
      <c r="EJ45" s="226"/>
      <c r="EK45" s="226"/>
      <c r="EL45" s="226"/>
      <c r="EM45" s="226"/>
      <c r="EN45" s="226"/>
      <c r="EO45" s="226"/>
      <c r="EP45" s="226"/>
      <c r="EQ45" s="226"/>
      <c r="ER45" s="226"/>
      <c r="ES45" s="226"/>
      <c r="ET45" s="226"/>
      <c r="EU45" s="226"/>
      <c r="EV45" s="226"/>
      <c r="EW45" s="226"/>
      <c r="EX45" s="226"/>
      <c r="EY45" s="226"/>
      <c r="EZ45" s="226"/>
      <c r="FA45" s="226"/>
      <c r="FB45" s="226"/>
      <c r="FC45" s="226"/>
      <c r="FD45" s="226"/>
      <c r="FE45" s="226"/>
      <c r="FF45" s="226"/>
      <c r="FG45" s="226"/>
      <c r="FH45" s="226"/>
      <c r="FI45" s="226"/>
      <c r="FJ45" s="226"/>
      <c r="FK45" s="226"/>
      <c r="FL45" s="226"/>
      <c r="FM45" s="226"/>
      <c r="FN45" s="226"/>
      <c r="FO45" s="226"/>
      <c r="FP45" s="226"/>
      <c r="FQ45" s="226"/>
      <c r="FR45" s="226"/>
      <c r="FS45" s="226"/>
      <c r="FT45" s="226"/>
      <c r="FU45" s="226"/>
      <c r="FV45" s="226"/>
      <c r="FW45" s="226"/>
      <c r="FX45" s="226"/>
      <c r="FY45" s="226"/>
      <c r="FZ45" s="226"/>
      <c r="GA45" s="226"/>
      <c r="GB45" s="226"/>
      <c r="GC45" s="226"/>
      <c r="GD45" s="226"/>
      <c r="GE45" s="226"/>
      <c r="GF45" s="226"/>
      <c r="GG45" s="226"/>
      <c r="GH45" s="226"/>
      <c r="GI45" s="226"/>
      <c r="GJ45" s="226"/>
      <c r="GK45" s="226"/>
      <c r="GL45" s="226"/>
      <c r="GM45" s="226"/>
      <c r="GN45" s="226"/>
      <c r="GO45" s="226"/>
      <c r="GP45" s="226"/>
      <c r="GQ45" s="226"/>
      <c r="GR45" s="226"/>
      <c r="GS45" s="226"/>
      <c r="GT45" s="226"/>
      <c r="GU45" s="226"/>
      <c r="GV45" s="226"/>
      <c r="GW45" s="226"/>
      <c r="GX45" s="226"/>
      <c r="GY45" s="226"/>
      <c r="GZ45" s="226"/>
      <c r="HA45" s="226"/>
      <c r="HB45" s="226"/>
      <c r="HC45" s="226"/>
      <c r="HD45" s="226"/>
      <c r="HE45" s="226"/>
      <c r="HF45" s="226"/>
      <c r="HG45" s="226"/>
      <c r="HH45" s="226"/>
      <c r="HI45" s="226"/>
      <c r="HJ45" s="226"/>
    </row>
    <row r="46" spans="1:218" s="43" customFormat="1" ht="21.75" customHeight="1">
      <c r="A46" s="163"/>
      <c r="B46" s="89"/>
      <c r="C46" s="89">
        <v>4300</v>
      </c>
      <c r="D46" s="23" t="s">
        <v>93</v>
      </c>
      <c r="E46" s="148">
        <v>0</v>
      </c>
      <c r="F46" s="148">
        <v>24307</v>
      </c>
      <c r="G46" s="148"/>
      <c r="H46" s="148">
        <f t="shared" si="0"/>
        <v>24307</v>
      </c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6"/>
      <c r="BJ46" s="226"/>
      <c r="BK46" s="226"/>
      <c r="BL46" s="226"/>
      <c r="BM46" s="226"/>
      <c r="BN46" s="226"/>
      <c r="BO46" s="226"/>
      <c r="BP46" s="226"/>
      <c r="BQ46" s="226"/>
      <c r="BR46" s="226"/>
      <c r="BS46" s="226"/>
      <c r="BT46" s="226"/>
      <c r="BU46" s="226"/>
      <c r="BV46" s="226"/>
      <c r="BW46" s="226"/>
      <c r="BX46" s="226"/>
      <c r="BY46" s="226"/>
      <c r="BZ46" s="226"/>
      <c r="CA46" s="226"/>
      <c r="CB46" s="226"/>
      <c r="CC46" s="226"/>
      <c r="CD46" s="226"/>
      <c r="CE46" s="226"/>
      <c r="CF46" s="226"/>
      <c r="CG46" s="226"/>
      <c r="CH46" s="226"/>
      <c r="CI46" s="226"/>
      <c r="CJ46" s="226"/>
      <c r="CK46" s="226"/>
      <c r="CL46" s="226"/>
      <c r="CM46" s="226"/>
      <c r="CN46" s="226"/>
      <c r="CO46" s="226"/>
      <c r="CP46" s="226"/>
      <c r="CQ46" s="226"/>
      <c r="CR46" s="226"/>
      <c r="CS46" s="226"/>
      <c r="CT46" s="226"/>
      <c r="CU46" s="226"/>
      <c r="CV46" s="226"/>
      <c r="CW46" s="226"/>
      <c r="CX46" s="226"/>
      <c r="CY46" s="226"/>
      <c r="CZ46" s="226"/>
      <c r="DA46" s="226"/>
      <c r="DB46" s="226"/>
      <c r="DC46" s="226"/>
      <c r="DD46" s="226"/>
      <c r="DE46" s="226"/>
      <c r="DF46" s="226"/>
      <c r="DG46" s="226"/>
      <c r="DH46" s="226"/>
      <c r="DI46" s="226"/>
      <c r="DJ46" s="226"/>
      <c r="DK46" s="226"/>
      <c r="DL46" s="226"/>
      <c r="DM46" s="226"/>
      <c r="DN46" s="226"/>
      <c r="DO46" s="226"/>
      <c r="DP46" s="226"/>
      <c r="DQ46" s="226"/>
      <c r="DR46" s="226"/>
      <c r="DS46" s="226"/>
      <c r="DT46" s="226"/>
      <c r="DU46" s="226"/>
      <c r="DV46" s="226"/>
      <c r="DW46" s="226"/>
      <c r="DX46" s="226"/>
      <c r="DY46" s="226"/>
      <c r="DZ46" s="226"/>
      <c r="EA46" s="226"/>
      <c r="EB46" s="226"/>
      <c r="EC46" s="226"/>
      <c r="ED46" s="226"/>
      <c r="EE46" s="226"/>
      <c r="EF46" s="226"/>
      <c r="EG46" s="226"/>
      <c r="EH46" s="226"/>
      <c r="EI46" s="226"/>
      <c r="EJ46" s="226"/>
      <c r="EK46" s="226"/>
      <c r="EL46" s="226"/>
      <c r="EM46" s="226"/>
      <c r="EN46" s="226"/>
      <c r="EO46" s="226"/>
      <c r="EP46" s="226"/>
      <c r="EQ46" s="226"/>
      <c r="ER46" s="226"/>
      <c r="ES46" s="226"/>
      <c r="ET46" s="226"/>
      <c r="EU46" s="226"/>
      <c r="EV46" s="226"/>
      <c r="EW46" s="226"/>
      <c r="EX46" s="226"/>
      <c r="EY46" s="226"/>
      <c r="EZ46" s="226"/>
      <c r="FA46" s="226"/>
      <c r="FB46" s="226"/>
      <c r="FC46" s="226"/>
      <c r="FD46" s="226"/>
      <c r="FE46" s="226"/>
      <c r="FF46" s="226"/>
      <c r="FG46" s="226"/>
      <c r="FH46" s="226"/>
      <c r="FI46" s="226"/>
      <c r="FJ46" s="226"/>
      <c r="FK46" s="226"/>
      <c r="FL46" s="226"/>
      <c r="FM46" s="226"/>
      <c r="FN46" s="226"/>
      <c r="FO46" s="226"/>
      <c r="FP46" s="226"/>
      <c r="FQ46" s="226"/>
      <c r="FR46" s="226"/>
      <c r="FS46" s="226"/>
      <c r="FT46" s="226"/>
      <c r="FU46" s="226"/>
      <c r="FV46" s="226"/>
      <c r="FW46" s="226"/>
      <c r="FX46" s="226"/>
      <c r="FY46" s="226"/>
      <c r="FZ46" s="226"/>
      <c r="GA46" s="226"/>
      <c r="GB46" s="226"/>
      <c r="GC46" s="226"/>
      <c r="GD46" s="226"/>
      <c r="GE46" s="226"/>
      <c r="GF46" s="226"/>
      <c r="GG46" s="226"/>
      <c r="GH46" s="226"/>
      <c r="GI46" s="226"/>
      <c r="GJ46" s="226"/>
      <c r="GK46" s="226"/>
      <c r="GL46" s="226"/>
      <c r="GM46" s="226"/>
      <c r="GN46" s="226"/>
      <c r="GO46" s="226"/>
      <c r="GP46" s="226"/>
      <c r="GQ46" s="226"/>
      <c r="GR46" s="226"/>
      <c r="GS46" s="226"/>
      <c r="GT46" s="226"/>
      <c r="GU46" s="226"/>
      <c r="GV46" s="226"/>
      <c r="GW46" s="226"/>
      <c r="GX46" s="226"/>
      <c r="GY46" s="226"/>
      <c r="GZ46" s="226"/>
      <c r="HA46" s="226"/>
      <c r="HB46" s="226"/>
      <c r="HC46" s="226"/>
      <c r="HD46" s="226"/>
      <c r="HE46" s="226"/>
      <c r="HF46" s="226"/>
      <c r="HG46" s="226"/>
      <c r="HH46" s="226"/>
      <c r="HI46" s="226"/>
      <c r="HJ46" s="226"/>
    </row>
    <row r="47" spans="1:218" s="43" customFormat="1" ht="21.75" customHeight="1">
      <c r="A47" s="163"/>
      <c r="B47" s="89"/>
      <c r="C47" s="89">
        <v>4410</v>
      </c>
      <c r="D47" s="23" t="s">
        <v>104</v>
      </c>
      <c r="E47" s="148">
        <v>0</v>
      </c>
      <c r="F47" s="148">
        <v>3000</v>
      </c>
      <c r="G47" s="148"/>
      <c r="H47" s="148">
        <f t="shared" si="0"/>
        <v>3000</v>
      </c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6"/>
      <c r="BJ47" s="226"/>
      <c r="BK47" s="226"/>
      <c r="BL47" s="226"/>
      <c r="BM47" s="226"/>
      <c r="BN47" s="226"/>
      <c r="BO47" s="226"/>
      <c r="BP47" s="226"/>
      <c r="BQ47" s="226"/>
      <c r="BR47" s="226"/>
      <c r="BS47" s="226"/>
      <c r="BT47" s="226"/>
      <c r="BU47" s="226"/>
      <c r="BV47" s="226"/>
      <c r="BW47" s="226"/>
      <c r="BX47" s="226"/>
      <c r="BY47" s="226"/>
      <c r="BZ47" s="226"/>
      <c r="CA47" s="226"/>
      <c r="CB47" s="226"/>
      <c r="CC47" s="226"/>
      <c r="CD47" s="226"/>
      <c r="CE47" s="226"/>
      <c r="CF47" s="226"/>
      <c r="CG47" s="226"/>
      <c r="CH47" s="226"/>
      <c r="CI47" s="226"/>
      <c r="CJ47" s="226"/>
      <c r="CK47" s="226"/>
      <c r="CL47" s="226"/>
      <c r="CM47" s="226"/>
      <c r="CN47" s="226"/>
      <c r="CO47" s="226"/>
      <c r="CP47" s="226"/>
      <c r="CQ47" s="226"/>
      <c r="CR47" s="226"/>
      <c r="CS47" s="226"/>
      <c r="CT47" s="226"/>
      <c r="CU47" s="226"/>
      <c r="CV47" s="226"/>
      <c r="CW47" s="226"/>
      <c r="CX47" s="226"/>
      <c r="CY47" s="226"/>
      <c r="CZ47" s="226"/>
      <c r="DA47" s="226"/>
      <c r="DB47" s="226"/>
      <c r="DC47" s="226"/>
      <c r="DD47" s="226"/>
      <c r="DE47" s="226"/>
      <c r="DF47" s="226"/>
      <c r="DG47" s="226"/>
      <c r="DH47" s="226"/>
      <c r="DI47" s="226"/>
      <c r="DJ47" s="226"/>
      <c r="DK47" s="226"/>
      <c r="DL47" s="226"/>
      <c r="DM47" s="226"/>
      <c r="DN47" s="226"/>
      <c r="DO47" s="226"/>
      <c r="DP47" s="226"/>
      <c r="DQ47" s="226"/>
      <c r="DR47" s="226"/>
      <c r="DS47" s="226"/>
      <c r="DT47" s="226"/>
      <c r="DU47" s="226"/>
      <c r="DV47" s="226"/>
      <c r="DW47" s="226"/>
      <c r="DX47" s="226"/>
      <c r="DY47" s="226"/>
      <c r="DZ47" s="226"/>
      <c r="EA47" s="226"/>
      <c r="EB47" s="226"/>
      <c r="EC47" s="226"/>
      <c r="ED47" s="226"/>
      <c r="EE47" s="226"/>
      <c r="EF47" s="226"/>
      <c r="EG47" s="226"/>
      <c r="EH47" s="226"/>
      <c r="EI47" s="226"/>
      <c r="EJ47" s="226"/>
      <c r="EK47" s="226"/>
      <c r="EL47" s="226"/>
      <c r="EM47" s="226"/>
      <c r="EN47" s="226"/>
      <c r="EO47" s="226"/>
      <c r="EP47" s="226"/>
      <c r="EQ47" s="226"/>
      <c r="ER47" s="226"/>
      <c r="ES47" s="226"/>
      <c r="ET47" s="226"/>
      <c r="EU47" s="226"/>
      <c r="EV47" s="226"/>
      <c r="EW47" s="226"/>
      <c r="EX47" s="226"/>
      <c r="EY47" s="226"/>
      <c r="EZ47" s="226"/>
      <c r="FA47" s="226"/>
      <c r="FB47" s="226"/>
      <c r="FC47" s="226"/>
      <c r="FD47" s="226"/>
      <c r="FE47" s="226"/>
      <c r="FF47" s="226"/>
      <c r="FG47" s="226"/>
      <c r="FH47" s="226"/>
      <c r="FI47" s="226"/>
      <c r="FJ47" s="226"/>
      <c r="FK47" s="226"/>
      <c r="FL47" s="226"/>
      <c r="FM47" s="226"/>
      <c r="FN47" s="226"/>
      <c r="FO47" s="226"/>
      <c r="FP47" s="226"/>
      <c r="FQ47" s="226"/>
      <c r="FR47" s="226"/>
      <c r="FS47" s="226"/>
      <c r="FT47" s="226"/>
      <c r="FU47" s="226"/>
      <c r="FV47" s="226"/>
      <c r="FW47" s="226"/>
      <c r="FX47" s="226"/>
      <c r="FY47" s="226"/>
      <c r="FZ47" s="226"/>
      <c r="GA47" s="226"/>
      <c r="GB47" s="226"/>
      <c r="GC47" s="226"/>
      <c r="GD47" s="226"/>
      <c r="GE47" s="226"/>
      <c r="GF47" s="226"/>
      <c r="GG47" s="226"/>
      <c r="GH47" s="226"/>
      <c r="GI47" s="226"/>
      <c r="GJ47" s="226"/>
      <c r="GK47" s="226"/>
      <c r="GL47" s="226"/>
      <c r="GM47" s="226"/>
      <c r="GN47" s="226"/>
      <c r="GO47" s="226"/>
      <c r="GP47" s="226"/>
      <c r="GQ47" s="226"/>
      <c r="GR47" s="226"/>
      <c r="GS47" s="226"/>
      <c r="GT47" s="226"/>
      <c r="GU47" s="226"/>
      <c r="GV47" s="226"/>
      <c r="GW47" s="226"/>
      <c r="GX47" s="226"/>
      <c r="GY47" s="226"/>
      <c r="GZ47" s="226"/>
      <c r="HA47" s="226"/>
      <c r="HB47" s="226"/>
      <c r="HC47" s="226"/>
      <c r="HD47" s="226"/>
      <c r="HE47" s="226"/>
      <c r="HF47" s="226"/>
      <c r="HG47" s="226"/>
      <c r="HH47" s="226"/>
      <c r="HI47" s="226"/>
      <c r="HJ47" s="226"/>
    </row>
    <row r="48" spans="1:218" s="43" customFormat="1" ht="21.75" customHeight="1">
      <c r="A48" s="163"/>
      <c r="B48" s="89"/>
      <c r="C48" s="89">
        <v>4430</v>
      </c>
      <c r="D48" s="23" t="s">
        <v>108</v>
      </c>
      <c r="E48" s="148">
        <v>0</v>
      </c>
      <c r="F48" s="148">
        <v>2000</v>
      </c>
      <c r="G48" s="148"/>
      <c r="H48" s="148">
        <f t="shared" si="0"/>
        <v>2000</v>
      </c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6"/>
      <c r="BJ48" s="226"/>
      <c r="BK48" s="226"/>
      <c r="BL48" s="226"/>
      <c r="BM48" s="226"/>
      <c r="BN48" s="226"/>
      <c r="BO48" s="226"/>
      <c r="BP48" s="226"/>
      <c r="BQ48" s="226"/>
      <c r="BR48" s="226"/>
      <c r="BS48" s="226"/>
      <c r="BT48" s="226"/>
      <c r="BU48" s="226"/>
      <c r="BV48" s="226"/>
      <c r="BW48" s="226"/>
      <c r="BX48" s="226"/>
      <c r="BY48" s="226"/>
      <c r="BZ48" s="226"/>
      <c r="CA48" s="226"/>
      <c r="CB48" s="226"/>
      <c r="CC48" s="226"/>
      <c r="CD48" s="226"/>
      <c r="CE48" s="226"/>
      <c r="CF48" s="226"/>
      <c r="CG48" s="226"/>
      <c r="CH48" s="226"/>
      <c r="CI48" s="226"/>
      <c r="CJ48" s="226"/>
      <c r="CK48" s="226"/>
      <c r="CL48" s="226"/>
      <c r="CM48" s="226"/>
      <c r="CN48" s="226"/>
      <c r="CO48" s="226"/>
      <c r="CP48" s="226"/>
      <c r="CQ48" s="226"/>
      <c r="CR48" s="226"/>
      <c r="CS48" s="226"/>
      <c r="CT48" s="226"/>
      <c r="CU48" s="226"/>
      <c r="CV48" s="226"/>
      <c r="CW48" s="226"/>
      <c r="CX48" s="226"/>
      <c r="CY48" s="226"/>
      <c r="CZ48" s="226"/>
      <c r="DA48" s="226"/>
      <c r="DB48" s="226"/>
      <c r="DC48" s="226"/>
      <c r="DD48" s="226"/>
      <c r="DE48" s="226"/>
      <c r="DF48" s="226"/>
      <c r="DG48" s="226"/>
      <c r="DH48" s="226"/>
      <c r="DI48" s="226"/>
      <c r="DJ48" s="226"/>
      <c r="DK48" s="226"/>
      <c r="DL48" s="226"/>
      <c r="DM48" s="226"/>
      <c r="DN48" s="226"/>
      <c r="DO48" s="226"/>
      <c r="DP48" s="226"/>
      <c r="DQ48" s="226"/>
      <c r="DR48" s="226"/>
      <c r="DS48" s="226"/>
      <c r="DT48" s="226"/>
      <c r="DU48" s="226"/>
      <c r="DV48" s="226"/>
      <c r="DW48" s="226"/>
      <c r="DX48" s="226"/>
      <c r="DY48" s="226"/>
      <c r="DZ48" s="226"/>
      <c r="EA48" s="226"/>
      <c r="EB48" s="226"/>
      <c r="EC48" s="226"/>
      <c r="ED48" s="226"/>
      <c r="EE48" s="226"/>
      <c r="EF48" s="226"/>
      <c r="EG48" s="226"/>
      <c r="EH48" s="226"/>
      <c r="EI48" s="226"/>
      <c r="EJ48" s="226"/>
      <c r="EK48" s="226"/>
      <c r="EL48" s="226"/>
      <c r="EM48" s="226"/>
      <c r="EN48" s="226"/>
      <c r="EO48" s="226"/>
      <c r="EP48" s="226"/>
      <c r="EQ48" s="226"/>
      <c r="ER48" s="226"/>
      <c r="ES48" s="226"/>
      <c r="ET48" s="226"/>
      <c r="EU48" s="226"/>
      <c r="EV48" s="226"/>
      <c r="EW48" s="226"/>
      <c r="EX48" s="226"/>
      <c r="EY48" s="226"/>
      <c r="EZ48" s="226"/>
      <c r="FA48" s="226"/>
      <c r="FB48" s="226"/>
      <c r="FC48" s="226"/>
      <c r="FD48" s="226"/>
      <c r="FE48" s="226"/>
      <c r="FF48" s="226"/>
      <c r="FG48" s="226"/>
      <c r="FH48" s="226"/>
      <c r="FI48" s="226"/>
      <c r="FJ48" s="226"/>
      <c r="FK48" s="226"/>
      <c r="FL48" s="226"/>
      <c r="FM48" s="226"/>
      <c r="FN48" s="226"/>
      <c r="FO48" s="226"/>
      <c r="FP48" s="226"/>
      <c r="FQ48" s="226"/>
      <c r="FR48" s="226"/>
      <c r="FS48" s="226"/>
      <c r="FT48" s="226"/>
      <c r="FU48" s="226"/>
      <c r="FV48" s="226"/>
      <c r="FW48" s="226"/>
      <c r="FX48" s="226"/>
      <c r="FY48" s="226"/>
      <c r="FZ48" s="226"/>
      <c r="GA48" s="226"/>
      <c r="GB48" s="226"/>
      <c r="GC48" s="226"/>
      <c r="GD48" s="226"/>
      <c r="GE48" s="226"/>
      <c r="GF48" s="226"/>
      <c r="GG48" s="226"/>
      <c r="GH48" s="226"/>
      <c r="GI48" s="226"/>
      <c r="GJ48" s="226"/>
      <c r="GK48" s="226"/>
      <c r="GL48" s="226"/>
      <c r="GM48" s="226"/>
      <c r="GN48" s="226"/>
      <c r="GO48" s="226"/>
      <c r="GP48" s="226"/>
      <c r="GQ48" s="226"/>
      <c r="GR48" s="226"/>
      <c r="GS48" s="226"/>
      <c r="GT48" s="226"/>
      <c r="GU48" s="226"/>
      <c r="GV48" s="226"/>
      <c r="GW48" s="226"/>
      <c r="GX48" s="226"/>
      <c r="GY48" s="226"/>
      <c r="GZ48" s="226"/>
      <c r="HA48" s="226"/>
      <c r="HB48" s="226"/>
      <c r="HC48" s="226"/>
      <c r="HD48" s="226"/>
      <c r="HE48" s="226"/>
      <c r="HF48" s="226"/>
      <c r="HG48" s="226"/>
      <c r="HH48" s="226"/>
      <c r="HI48" s="226"/>
      <c r="HJ48" s="226"/>
    </row>
    <row r="49" spans="1:218" s="43" customFormat="1" ht="21.75" customHeight="1">
      <c r="A49" s="163"/>
      <c r="B49" s="89"/>
      <c r="C49" s="89">
        <v>4440</v>
      </c>
      <c r="D49" s="23" t="s">
        <v>102</v>
      </c>
      <c r="E49" s="148">
        <v>0</v>
      </c>
      <c r="F49" s="148">
        <v>3800</v>
      </c>
      <c r="G49" s="148"/>
      <c r="H49" s="148">
        <f t="shared" si="0"/>
        <v>3800</v>
      </c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  <c r="BI49" s="226"/>
      <c r="BJ49" s="226"/>
      <c r="BK49" s="226"/>
      <c r="BL49" s="226"/>
      <c r="BM49" s="226"/>
      <c r="BN49" s="226"/>
      <c r="BO49" s="226"/>
      <c r="BP49" s="226"/>
      <c r="BQ49" s="226"/>
      <c r="BR49" s="226"/>
      <c r="BS49" s="226"/>
      <c r="BT49" s="226"/>
      <c r="BU49" s="226"/>
      <c r="BV49" s="226"/>
      <c r="BW49" s="226"/>
      <c r="BX49" s="226"/>
      <c r="BY49" s="226"/>
      <c r="BZ49" s="226"/>
      <c r="CA49" s="226"/>
      <c r="CB49" s="226"/>
      <c r="CC49" s="226"/>
      <c r="CD49" s="226"/>
      <c r="CE49" s="226"/>
      <c r="CF49" s="226"/>
      <c r="CG49" s="226"/>
      <c r="CH49" s="226"/>
      <c r="CI49" s="226"/>
      <c r="CJ49" s="226"/>
      <c r="CK49" s="226"/>
      <c r="CL49" s="226"/>
      <c r="CM49" s="226"/>
      <c r="CN49" s="226"/>
      <c r="CO49" s="226"/>
      <c r="CP49" s="226"/>
      <c r="CQ49" s="226"/>
      <c r="CR49" s="226"/>
      <c r="CS49" s="226"/>
      <c r="CT49" s="226"/>
      <c r="CU49" s="226"/>
      <c r="CV49" s="226"/>
      <c r="CW49" s="226"/>
      <c r="CX49" s="226"/>
      <c r="CY49" s="226"/>
      <c r="CZ49" s="226"/>
      <c r="DA49" s="226"/>
      <c r="DB49" s="226"/>
      <c r="DC49" s="226"/>
      <c r="DD49" s="226"/>
      <c r="DE49" s="226"/>
      <c r="DF49" s="226"/>
      <c r="DG49" s="226"/>
      <c r="DH49" s="226"/>
      <c r="DI49" s="226"/>
      <c r="DJ49" s="226"/>
      <c r="DK49" s="226"/>
      <c r="DL49" s="226"/>
      <c r="DM49" s="226"/>
      <c r="DN49" s="226"/>
      <c r="DO49" s="226"/>
      <c r="DP49" s="226"/>
      <c r="DQ49" s="226"/>
      <c r="DR49" s="226"/>
      <c r="DS49" s="226"/>
      <c r="DT49" s="226"/>
      <c r="DU49" s="226"/>
      <c r="DV49" s="226"/>
      <c r="DW49" s="226"/>
      <c r="DX49" s="226"/>
      <c r="DY49" s="226"/>
      <c r="DZ49" s="226"/>
      <c r="EA49" s="226"/>
      <c r="EB49" s="226"/>
      <c r="EC49" s="226"/>
      <c r="ED49" s="226"/>
      <c r="EE49" s="226"/>
      <c r="EF49" s="226"/>
      <c r="EG49" s="226"/>
      <c r="EH49" s="226"/>
      <c r="EI49" s="226"/>
      <c r="EJ49" s="226"/>
      <c r="EK49" s="226"/>
      <c r="EL49" s="226"/>
      <c r="EM49" s="226"/>
      <c r="EN49" s="226"/>
      <c r="EO49" s="226"/>
      <c r="EP49" s="226"/>
      <c r="EQ49" s="226"/>
      <c r="ER49" s="226"/>
      <c r="ES49" s="226"/>
      <c r="ET49" s="226"/>
      <c r="EU49" s="226"/>
      <c r="EV49" s="226"/>
      <c r="EW49" s="226"/>
      <c r="EX49" s="226"/>
      <c r="EY49" s="226"/>
      <c r="EZ49" s="226"/>
      <c r="FA49" s="226"/>
      <c r="FB49" s="226"/>
      <c r="FC49" s="226"/>
      <c r="FD49" s="226"/>
      <c r="FE49" s="226"/>
      <c r="FF49" s="226"/>
      <c r="FG49" s="226"/>
      <c r="FH49" s="226"/>
      <c r="FI49" s="226"/>
      <c r="FJ49" s="226"/>
      <c r="FK49" s="226"/>
      <c r="FL49" s="226"/>
      <c r="FM49" s="226"/>
      <c r="FN49" s="226"/>
      <c r="FO49" s="226"/>
      <c r="FP49" s="226"/>
      <c r="FQ49" s="226"/>
      <c r="FR49" s="226"/>
      <c r="FS49" s="226"/>
      <c r="FT49" s="226"/>
      <c r="FU49" s="226"/>
      <c r="FV49" s="226"/>
      <c r="FW49" s="226"/>
      <c r="FX49" s="226"/>
      <c r="FY49" s="226"/>
      <c r="FZ49" s="226"/>
      <c r="GA49" s="226"/>
      <c r="GB49" s="226"/>
      <c r="GC49" s="226"/>
      <c r="GD49" s="226"/>
      <c r="GE49" s="226"/>
      <c r="GF49" s="226"/>
      <c r="GG49" s="226"/>
      <c r="GH49" s="226"/>
      <c r="GI49" s="226"/>
      <c r="GJ49" s="226"/>
      <c r="GK49" s="226"/>
      <c r="GL49" s="226"/>
      <c r="GM49" s="226"/>
      <c r="GN49" s="226"/>
      <c r="GO49" s="226"/>
      <c r="GP49" s="226"/>
      <c r="GQ49" s="226"/>
      <c r="GR49" s="226"/>
      <c r="GS49" s="226"/>
      <c r="GT49" s="226"/>
      <c r="GU49" s="226"/>
      <c r="GV49" s="226"/>
      <c r="GW49" s="226"/>
      <c r="GX49" s="226"/>
      <c r="GY49" s="226"/>
      <c r="GZ49" s="226"/>
      <c r="HA49" s="226"/>
      <c r="HB49" s="226"/>
      <c r="HC49" s="226"/>
      <c r="HD49" s="226"/>
      <c r="HE49" s="226"/>
      <c r="HF49" s="226"/>
      <c r="HG49" s="226"/>
      <c r="HH49" s="226"/>
      <c r="HI49" s="226"/>
      <c r="HJ49" s="226"/>
    </row>
    <row r="50" spans="1:218" s="43" customFormat="1" ht="49.5" customHeight="1">
      <c r="A50" s="126"/>
      <c r="B50" s="89">
        <v>85213</v>
      </c>
      <c r="C50" s="135"/>
      <c r="D50" s="132" t="s">
        <v>274</v>
      </c>
      <c r="E50" s="148">
        <f>SUM(E51)</f>
        <v>74700</v>
      </c>
      <c r="F50" s="148">
        <f>SUM(F51)</f>
        <v>0</v>
      </c>
      <c r="G50" s="148">
        <f>SUM(G51)</f>
        <v>0</v>
      </c>
      <c r="H50" s="148">
        <f>SUM(H51)</f>
        <v>74700</v>
      </c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  <c r="BX50" s="226"/>
      <c r="BY50" s="226"/>
      <c r="BZ50" s="226"/>
      <c r="CA50" s="226"/>
      <c r="CB50" s="226"/>
      <c r="CC50" s="226"/>
      <c r="CD50" s="226"/>
      <c r="CE50" s="226"/>
      <c r="CF50" s="226"/>
      <c r="CG50" s="226"/>
      <c r="CH50" s="226"/>
      <c r="CI50" s="226"/>
      <c r="CJ50" s="226"/>
      <c r="CK50" s="226"/>
      <c r="CL50" s="226"/>
      <c r="CM50" s="226"/>
      <c r="CN50" s="226"/>
      <c r="CO50" s="226"/>
      <c r="CP50" s="226"/>
      <c r="CQ50" s="226"/>
      <c r="CR50" s="226"/>
      <c r="CS50" s="226"/>
      <c r="CT50" s="226"/>
      <c r="CU50" s="226"/>
      <c r="CV50" s="226"/>
      <c r="CW50" s="226"/>
      <c r="CX50" s="226"/>
      <c r="CY50" s="226"/>
      <c r="CZ50" s="226"/>
      <c r="DA50" s="226"/>
      <c r="DB50" s="226"/>
      <c r="DC50" s="226"/>
      <c r="DD50" s="226"/>
      <c r="DE50" s="226"/>
      <c r="DF50" s="226"/>
      <c r="DG50" s="226"/>
      <c r="DH50" s="226"/>
      <c r="DI50" s="226"/>
      <c r="DJ50" s="226"/>
      <c r="DK50" s="226"/>
      <c r="DL50" s="226"/>
      <c r="DM50" s="226"/>
      <c r="DN50" s="226"/>
      <c r="DO50" s="226"/>
      <c r="DP50" s="226"/>
      <c r="DQ50" s="226"/>
      <c r="DR50" s="226"/>
      <c r="DS50" s="226"/>
      <c r="DT50" s="226"/>
      <c r="DU50" s="226"/>
      <c r="DV50" s="226"/>
      <c r="DW50" s="226"/>
      <c r="DX50" s="226"/>
      <c r="DY50" s="226"/>
      <c r="DZ50" s="226"/>
      <c r="EA50" s="226"/>
      <c r="EB50" s="226"/>
      <c r="EC50" s="226"/>
      <c r="ED50" s="226"/>
      <c r="EE50" s="226"/>
      <c r="EF50" s="226"/>
      <c r="EG50" s="226"/>
      <c r="EH50" s="226"/>
      <c r="EI50" s="226"/>
      <c r="EJ50" s="226"/>
      <c r="EK50" s="226"/>
      <c r="EL50" s="226"/>
      <c r="EM50" s="226"/>
      <c r="EN50" s="226"/>
      <c r="EO50" s="226"/>
      <c r="EP50" s="226"/>
      <c r="EQ50" s="226"/>
      <c r="ER50" s="226"/>
      <c r="ES50" s="226"/>
      <c r="ET50" s="226"/>
      <c r="EU50" s="226"/>
      <c r="EV50" s="226"/>
      <c r="EW50" s="226"/>
      <c r="EX50" s="226"/>
      <c r="EY50" s="226"/>
      <c r="EZ50" s="226"/>
      <c r="FA50" s="226"/>
      <c r="FB50" s="226"/>
      <c r="FC50" s="226"/>
      <c r="FD50" s="226"/>
      <c r="FE50" s="226"/>
      <c r="FF50" s="226"/>
      <c r="FG50" s="226"/>
      <c r="FH50" s="226"/>
      <c r="FI50" s="226"/>
      <c r="FJ50" s="226"/>
      <c r="FK50" s="226"/>
      <c r="FL50" s="226"/>
      <c r="FM50" s="226"/>
      <c r="FN50" s="226"/>
      <c r="FO50" s="226"/>
      <c r="FP50" s="226"/>
      <c r="FQ50" s="226"/>
      <c r="FR50" s="226"/>
      <c r="FS50" s="226"/>
      <c r="FT50" s="226"/>
      <c r="FU50" s="226"/>
      <c r="FV50" s="226"/>
      <c r="FW50" s="226"/>
      <c r="FX50" s="226"/>
      <c r="FY50" s="226"/>
      <c r="FZ50" s="226"/>
      <c r="GA50" s="226"/>
      <c r="GB50" s="226"/>
      <c r="GC50" s="226"/>
      <c r="GD50" s="226"/>
      <c r="GE50" s="226"/>
      <c r="GF50" s="226"/>
      <c r="GG50" s="226"/>
      <c r="GH50" s="226"/>
      <c r="GI50" s="226"/>
      <c r="GJ50" s="226"/>
      <c r="GK50" s="226"/>
      <c r="GL50" s="226"/>
      <c r="GM50" s="226"/>
      <c r="GN50" s="226"/>
      <c r="GO50" s="226"/>
      <c r="GP50" s="226"/>
      <c r="GQ50" s="226"/>
      <c r="GR50" s="226"/>
      <c r="GS50" s="226"/>
      <c r="GT50" s="226"/>
      <c r="GU50" s="226"/>
      <c r="GV50" s="226"/>
      <c r="GW50" s="226"/>
      <c r="GX50" s="226"/>
      <c r="GY50" s="226"/>
      <c r="GZ50" s="226"/>
      <c r="HA50" s="226"/>
      <c r="HB50" s="226"/>
      <c r="HC50" s="226"/>
      <c r="HD50" s="226"/>
      <c r="HE50" s="226"/>
      <c r="HF50" s="226"/>
      <c r="HG50" s="226"/>
      <c r="HH50" s="226"/>
      <c r="HI50" s="226"/>
      <c r="HJ50" s="226"/>
    </row>
    <row r="51" spans="1:218" s="43" customFormat="1" ht="21.75" customHeight="1">
      <c r="A51" s="126"/>
      <c r="B51" s="89"/>
      <c r="C51" s="135">
        <v>4130</v>
      </c>
      <c r="D51" s="132" t="s">
        <v>138</v>
      </c>
      <c r="E51" s="148">
        <v>74700</v>
      </c>
      <c r="F51" s="148"/>
      <c r="G51" s="148"/>
      <c r="H51" s="148">
        <f>SUM(E51+F51-G51)</f>
        <v>74700</v>
      </c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  <c r="BX51" s="226"/>
      <c r="BY51" s="226"/>
      <c r="BZ51" s="226"/>
      <c r="CA51" s="226"/>
      <c r="CB51" s="226"/>
      <c r="CC51" s="226"/>
      <c r="CD51" s="226"/>
      <c r="CE51" s="226"/>
      <c r="CF51" s="226"/>
      <c r="CG51" s="226"/>
      <c r="CH51" s="226"/>
      <c r="CI51" s="226"/>
      <c r="CJ51" s="226"/>
      <c r="CK51" s="226"/>
      <c r="CL51" s="226"/>
      <c r="CM51" s="226"/>
      <c r="CN51" s="226"/>
      <c r="CO51" s="226"/>
      <c r="CP51" s="226"/>
      <c r="CQ51" s="226"/>
      <c r="CR51" s="226"/>
      <c r="CS51" s="226"/>
      <c r="CT51" s="226"/>
      <c r="CU51" s="226"/>
      <c r="CV51" s="226"/>
      <c r="CW51" s="226"/>
      <c r="CX51" s="226"/>
      <c r="CY51" s="226"/>
      <c r="CZ51" s="226"/>
      <c r="DA51" s="226"/>
      <c r="DB51" s="226"/>
      <c r="DC51" s="226"/>
      <c r="DD51" s="226"/>
      <c r="DE51" s="226"/>
      <c r="DF51" s="226"/>
      <c r="DG51" s="226"/>
      <c r="DH51" s="226"/>
      <c r="DI51" s="226"/>
      <c r="DJ51" s="226"/>
      <c r="DK51" s="226"/>
      <c r="DL51" s="226"/>
      <c r="DM51" s="226"/>
      <c r="DN51" s="226"/>
      <c r="DO51" s="226"/>
      <c r="DP51" s="226"/>
      <c r="DQ51" s="226"/>
      <c r="DR51" s="226"/>
      <c r="DS51" s="226"/>
      <c r="DT51" s="226"/>
      <c r="DU51" s="226"/>
      <c r="DV51" s="226"/>
      <c r="DW51" s="226"/>
      <c r="DX51" s="226"/>
      <c r="DY51" s="226"/>
      <c r="DZ51" s="226"/>
      <c r="EA51" s="226"/>
      <c r="EB51" s="226"/>
      <c r="EC51" s="226"/>
      <c r="ED51" s="226"/>
      <c r="EE51" s="226"/>
      <c r="EF51" s="226"/>
      <c r="EG51" s="226"/>
      <c r="EH51" s="226"/>
      <c r="EI51" s="226"/>
      <c r="EJ51" s="226"/>
      <c r="EK51" s="226"/>
      <c r="EL51" s="226"/>
      <c r="EM51" s="226"/>
      <c r="EN51" s="226"/>
      <c r="EO51" s="226"/>
      <c r="EP51" s="226"/>
      <c r="EQ51" s="226"/>
      <c r="ER51" s="226"/>
      <c r="ES51" s="226"/>
      <c r="ET51" s="226"/>
      <c r="EU51" s="226"/>
      <c r="EV51" s="226"/>
      <c r="EW51" s="226"/>
      <c r="EX51" s="226"/>
      <c r="EY51" s="226"/>
      <c r="EZ51" s="226"/>
      <c r="FA51" s="226"/>
      <c r="FB51" s="226"/>
      <c r="FC51" s="226"/>
      <c r="FD51" s="226"/>
      <c r="FE51" s="226"/>
      <c r="FF51" s="226"/>
      <c r="FG51" s="226"/>
      <c r="FH51" s="226"/>
      <c r="FI51" s="226"/>
      <c r="FJ51" s="226"/>
      <c r="FK51" s="226"/>
      <c r="FL51" s="226"/>
      <c r="FM51" s="226"/>
      <c r="FN51" s="226"/>
      <c r="FO51" s="226"/>
      <c r="FP51" s="226"/>
      <c r="FQ51" s="226"/>
      <c r="FR51" s="226"/>
      <c r="FS51" s="226"/>
      <c r="FT51" s="226"/>
      <c r="FU51" s="226"/>
      <c r="FV51" s="226"/>
      <c r="FW51" s="226"/>
      <c r="FX51" s="226"/>
      <c r="FY51" s="226"/>
      <c r="FZ51" s="226"/>
      <c r="GA51" s="226"/>
      <c r="GB51" s="226"/>
      <c r="GC51" s="226"/>
      <c r="GD51" s="226"/>
      <c r="GE51" s="226"/>
      <c r="GF51" s="226"/>
      <c r="GG51" s="226"/>
      <c r="GH51" s="226"/>
      <c r="GI51" s="226"/>
      <c r="GJ51" s="226"/>
      <c r="GK51" s="226"/>
      <c r="GL51" s="226"/>
      <c r="GM51" s="226"/>
      <c r="GN51" s="226"/>
      <c r="GO51" s="226"/>
      <c r="GP51" s="226"/>
      <c r="GQ51" s="226"/>
      <c r="GR51" s="226"/>
      <c r="GS51" s="226"/>
      <c r="GT51" s="226"/>
      <c r="GU51" s="226"/>
      <c r="GV51" s="226"/>
      <c r="GW51" s="226"/>
      <c r="GX51" s="226"/>
      <c r="GY51" s="226"/>
      <c r="GZ51" s="226"/>
      <c r="HA51" s="226"/>
      <c r="HB51" s="226"/>
      <c r="HC51" s="226"/>
      <c r="HD51" s="226"/>
      <c r="HE51" s="226"/>
      <c r="HF51" s="226"/>
      <c r="HG51" s="226"/>
      <c r="HH51" s="226"/>
      <c r="HI51" s="226"/>
      <c r="HJ51" s="226"/>
    </row>
    <row r="52" spans="1:218" s="115" customFormat="1" ht="22.5">
      <c r="A52" s="120"/>
      <c r="B52" s="120">
        <v>85214</v>
      </c>
      <c r="C52" s="121"/>
      <c r="D52" s="119" t="s">
        <v>334</v>
      </c>
      <c r="E52" s="150">
        <f>SUM(E53:E54)</f>
        <v>569300</v>
      </c>
      <c r="F52" s="150">
        <f>SUM(F53:F54)</f>
        <v>0</v>
      </c>
      <c r="G52" s="150">
        <f>SUM(G53:G54)</f>
        <v>0</v>
      </c>
      <c r="H52" s="150">
        <f>SUM(H53:H54)</f>
        <v>569300</v>
      </c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  <c r="BX52" s="226"/>
      <c r="BY52" s="226"/>
      <c r="BZ52" s="226"/>
      <c r="CA52" s="226"/>
      <c r="CB52" s="226"/>
      <c r="CC52" s="226"/>
      <c r="CD52" s="226"/>
      <c r="CE52" s="226"/>
      <c r="CF52" s="226"/>
      <c r="CG52" s="226"/>
      <c r="CH52" s="226"/>
      <c r="CI52" s="226"/>
      <c r="CJ52" s="226"/>
      <c r="CK52" s="226"/>
      <c r="CL52" s="226"/>
      <c r="CM52" s="226"/>
      <c r="CN52" s="226"/>
      <c r="CO52" s="226"/>
      <c r="CP52" s="226"/>
      <c r="CQ52" s="226"/>
      <c r="CR52" s="226"/>
      <c r="CS52" s="226"/>
      <c r="CT52" s="226"/>
      <c r="CU52" s="226"/>
      <c r="CV52" s="226"/>
      <c r="CW52" s="226"/>
      <c r="CX52" s="226"/>
      <c r="CY52" s="226"/>
      <c r="CZ52" s="226"/>
      <c r="DA52" s="226"/>
      <c r="DB52" s="226"/>
      <c r="DC52" s="226"/>
      <c r="DD52" s="226"/>
      <c r="DE52" s="226"/>
      <c r="DF52" s="226"/>
      <c r="DG52" s="226"/>
      <c r="DH52" s="226"/>
      <c r="DI52" s="226"/>
      <c r="DJ52" s="226"/>
      <c r="DK52" s="226"/>
      <c r="DL52" s="226"/>
      <c r="DM52" s="226"/>
      <c r="DN52" s="226"/>
      <c r="DO52" s="226"/>
      <c r="DP52" s="226"/>
      <c r="DQ52" s="226"/>
      <c r="DR52" s="226"/>
      <c r="DS52" s="226"/>
      <c r="DT52" s="226"/>
      <c r="DU52" s="226"/>
      <c r="DV52" s="226"/>
      <c r="DW52" s="226"/>
      <c r="DX52" s="226"/>
      <c r="DY52" s="226"/>
      <c r="DZ52" s="226"/>
      <c r="EA52" s="226"/>
      <c r="EB52" s="226"/>
      <c r="EC52" s="226"/>
      <c r="ED52" s="226"/>
      <c r="EE52" s="226"/>
      <c r="EF52" s="226"/>
      <c r="EG52" s="226"/>
      <c r="EH52" s="226"/>
      <c r="EI52" s="226"/>
      <c r="EJ52" s="226"/>
      <c r="EK52" s="226"/>
      <c r="EL52" s="226"/>
      <c r="EM52" s="226"/>
      <c r="EN52" s="226"/>
      <c r="EO52" s="226"/>
      <c r="EP52" s="226"/>
      <c r="EQ52" s="226"/>
      <c r="ER52" s="226"/>
      <c r="ES52" s="226"/>
      <c r="ET52" s="226"/>
      <c r="EU52" s="226"/>
      <c r="EV52" s="226"/>
      <c r="EW52" s="226"/>
      <c r="EX52" s="226"/>
      <c r="EY52" s="226"/>
      <c r="EZ52" s="226"/>
      <c r="FA52" s="226"/>
      <c r="FB52" s="226"/>
      <c r="FC52" s="226"/>
      <c r="FD52" s="226"/>
      <c r="FE52" s="226"/>
      <c r="FF52" s="226"/>
      <c r="FG52" s="226"/>
      <c r="FH52" s="226"/>
      <c r="FI52" s="226"/>
      <c r="FJ52" s="226"/>
      <c r="FK52" s="226"/>
      <c r="FL52" s="226"/>
      <c r="FM52" s="226"/>
      <c r="FN52" s="226"/>
      <c r="FO52" s="226"/>
      <c r="FP52" s="226"/>
      <c r="FQ52" s="226"/>
      <c r="FR52" s="226"/>
      <c r="FS52" s="226"/>
      <c r="FT52" s="226"/>
      <c r="FU52" s="226"/>
      <c r="FV52" s="226"/>
      <c r="FW52" s="226"/>
      <c r="FX52" s="226"/>
      <c r="FY52" s="226"/>
      <c r="FZ52" s="226"/>
      <c r="GA52" s="226"/>
      <c r="GB52" s="226"/>
      <c r="GC52" s="226"/>
      <c r="GD52" s="226"/>
      <c r="GE52" s="226"/>
      <c r="GF52" s="226"/>
      <c r="GG52" s="226"/>
      <c r="GH52" s="226"/>
      <c r="GI52" s="226"/>
      <c r="GJ52" s="226"/>
      <c r="GK52" s="226"/>
      <c r="GL52" s="226"/>
      <c r="GM52" s="226"/>
      <c r="GN52" s="226"/>
      <c r="GO52" s="226"/>
      <c r="GP52" s="226"/>
      <c r="GQ52" s="226"/>
      <c r="GR52" s="226"/>
      <c r="GS52" s="226"/>
      <c r="GT52" s="226"/>
      <c r="GU52" s="226"/>
      <c r="GV52" s="226"/>
      <c r="GW52" s="226"/>
      <c r="GX52" s="226"/>
      <c r="GY52" s="226"/>
      <c r="GZ52" s="226"/>
      <c r="HA52" s="226"/>
      <c r="HB52" s="226"/>
      <c r="HC52" s="226"/>
      <c r="HD52" s="226"/>
      <c r="HE52" s="226"/>
      <c r="HF52" s="226"/>
      <c r="HG52" s="226"/>
      <c r="HH52" s="226"/>
      <c r="HI52" s="226"/>
      <c r="HJ52" s="226"/>
    </row>
    <row r="53" spans="1:218" s="115" customFormat="1" ht="21.75" customHeight="1">
      <c r="A53" s="120"/>
      <c r="B53" s="142"/>
      <c r="C53" s="121">
        <v>3110</v>
      </c>
      <c r="D53" s="119" t="s">
        <v>129</v>
      </c>
      <c r="E53" s="150">
        <v>566300</v>
      </c>
      <c r="F53" s="150"/>
      <c r="G53" s="150"/>
      <c r="H53" s="150">
        <f>SUM(E53+F53-G53)</f>
        <v>566300</v>
      </c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  <c r="BX53" s="226"/>
      <c r="BY53" s="226"/>
      <c r="BZ53" s="226"/>
      <c r="CA53" s="226"/>
      <c r="CB53" s="226"/>
      <c r="CC53" s="226"/>
      <c r="CD53" s="226"/>
      <c r="CE53" s="226"/>
      <c r="CF53" s="226"/>
      <c r="CG53" s="226"/>
      <c r="CH53" s="226"/>
      <c r="CI53" s="226"/>
      <c r="CJ53" s="226"/>
      <c r="CK53" s="226"/>
      <c r="CL53" s="226"/>
      <c r="CM53" s="226"/>
      <c r="CN53" s="226"/>
      <c r="CO53" s="226"/>
      <c r="CP53" s="226"/>
      <c r="CQ53" s="226"/>
      <c r="CR53" s="226"/>
      <c r="CS53" s="226"/>
      <c r="CT53" s="226"/>
      <c r="CU53" s="226"/>
      <c r="CV53" s="226"/>
      <c r="CW53" s="226"/>
      <c r="CX53" s="226"/>
      <c r="CY53" s="226"/>
      <c r="CZ53" s="226"/>
      <c r="DA53" s="226"/>
      <c r="DB53" s="226"/>
      <c r="DC53" s="226"/>
      <c r="DD53" s="226"/>
      <c r="DE53" s="226"/>
      <c r="DF53" s="226"/>
      <c r="DG53" s="226"/>
      <c r="DH53" s="226"/>
      <c r="DI53" s="226"/>
      <c r="DJ53" s="226"/>
      <c r="DK53" s="226"/>
      <c r="DL53" s="226"/>
      <c r="DM53" s="226"/>
      <c r="DN53" s="226"/>
      <c r="DO53" s="226"/>
      <c r="DP53" s="226"/>
      <c r="DQ53" s="226"/>
      <c r="DR53" s="226"/>
      <c r="DS53" s="226"/>
      <c r="DT53" s="226"/>
      <c r="DU53" s="226"/>
      <c r="DV53" s="226"/>
      <c r="DW53" s="226"/>
      <c r="DX53" s="226"/>
      <c r="DY53" s="226"/>
      <c r="DZ53" s="226"/>
      <c r="EA53" s="226"/>
      <c r="EB53" s="226"/>
      <c r="EC53" s="226"/>
      <c r="ED53" s="226"/>
      <c r="EE53" s="226"/>
      <c r="EF53" s="226"/>
      <c r="EG53" s="226"/>
      <c r="EH53" s="226"/>
      <c r="EI53" s="226"/>
      <c r="EJ53" s="226"/>
      <c r="EK53" s="226"/>
      <c r="EL53" s="226"/>
      <c r="EM53" s="226"/>
      <c r="EN53" s="226"/>
      <c r="EO53" s="226"/>
      <c r="EP53" s="226"/>
      <c r="EQ53" s="226"/>
      <c r="ER53" s="226"/>
      <c r="ES53" s="226"/>
      <c r="ET53" s="226"/>
      <c r="EU53" s="226"/>
      <c r="EV53" s="226"/>
      <c r="EW53" s="226"/>
      <c r="EX53" s="226"/>
      <c r="EY53" s="226"/>
      <c r="EZ53" s="226"/>
      <c r="FA53" s="226"/>
      <c r="FB53" s="226"/>
      <c r="FC53" s="226"/>
      <c r="FD53" s="226"/>
      <c r="FE53" s="226"/>
      <c r="FF53" s="226"/>
      <c r="FG53" s="226"/>
      <c r="FH53" s="226"/>
      <c r="FI53" s="226"/>
      <c r="FJ53" s="226"/>
      <c r="FK53" s="226"/>
      <c r="FL53" s="226"/>
      <c r="FM53" s="226"/>
      <c r="FN53" s="226"/>
      <c r="FO53" s="226"/>
      <c r="FP53" s="226"/>
      <c r="FQ53" s="226"/>
      <c r="FR53" s="226"/>
      <c r="FS53" s="226"/>
      <c r="FT53" s="226"/>
      <c r="FU53" s="226"/>
      <c r="FV53" s="226"/>
      <c r="FW53" s="226"/>
      <c r="FX53" s="226"/>
      <c r="FY53" s="226"/>
      <c r="FZ53" s="226"/>
      <c r="GA53" s="226"/>
      <c r="GB53" s="226"/>
      <c r="GC53" s="226"/>
      <c r="GD53" s="226"/>
      <c r="GE53" s="226"/>
      <c r="GF53" s="226"/>
      <c r="GG53" s="226"/>
      <c r="GH53" s="226"/>
      <c r="GI53" s="226"/>
      <c r="GJ53" s="226"/>
      <c r="GK53" s="226"/>
      <c r="GL53" s="226"/>
      <c r="GM53" s="226"/>
      <c r="GN53" s="226"/>
      <c r="GO53" s="226"/>
      <c r="GP53" s="226"/>
      <c r="GQ53" s="226"/>
      <c r="GR53" s="226"/>
      <c r="GS53" s="226"/>
      <c r="GT53" s="226"/>
      <c r="GU53" s="226"/>
      <c r="GV53" s="226"/>
      <c r="GW53" s="226"/>
      <c r="GX53" s="226"/>
      <c r="GY53" s="226"/>
      <c r="GZ53" s="226"/>
      <c r="HA53" s="226"/>
      <c r="HB53" s="226"/>
      <c r="HC53" s="226"/>
      <c r="HD53" s="226"/>
      <c r="HE53" s="226"/>
      <c r="HF53" s="226"/>
      <c r="HG53" s="226"/>
      <c r="HH53" s="226"/>
      <c r="HI53" s="226"/>
      <c r="HJ53" s="226"/>
    </row>
    <row r="54" spans="1:218" s="115" customFormat="1" ht="21.75" customHeight="1">
      <c r="A54" s="120"/>
      <c r="B54" s="142"/>
      <c r="C54" s="142">
        <v>4110</v>
      </c>
      <c r="D54" s="23" t="s">
        <v>100</v>
      </c>
      <c r="E54" s="150">
        <v>3000</v>
      </c>
      <c r="F54" s="150"/>
      <c r="G54" s="150"/>
      <c r="H54" s="150">
        <f>SUM(E54+F54-G54)</f>
        <v>3000</v>
      </c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26"/>
      <c r="CE54" s="226"/>
      <c r="CF54" s="226"/>
      <c r="CG54" s="226"/>
      <c r="CH54" s="226"/>
      <c r="CI54" s="226"/>
      <c r="CJ54" s="226"/>
      <c r="CK54" s="226"/>
      <c r="CL54" s="226"/>
      <c r="CM54" s="226"/>
      <c r="CN54" s="226"/>
      <c r="CO54" s="226"/>
      <c r="CP54" s="226"/>
      <c r="CQ54" s="226"/>
      <c r="CR54" s="226"/>
      <c r="CS54" s="226"/>
      <c r="CT54" s="226"/>
      <c r="CU54" s="226"/>
      <c r="CV54" s="226"/>
      <c r="CW54" s="226"/>
      <c r="CX54" s="226"/>
      <c r="CY54" s="226"/>
      <c r="CZ54" s="226"/>
      <c r="DA54" s="226"/>
      <c r="DB54" s="226"/>
      <c r="DC54" s="226"/>
      <c r="DD54" s="226"/>
      <c r="DE54" s="226"/>
      <c r="DF54" s="226"/>
      <c r="DG54" s="226"/>
      <c r="DH54" s="226"/>
      <c r="DI54" s="226"/>
      <c r="DJ54" s="226"/>
      <c r="DK54" s="226"/>
      <c r="DL54" s="226"/>
      <c r="DM54" s="226"/>
      <c r="DN54" s="226"/>
      <c r="DO54" s="226"/>
      <c r="DP54" s="226"/>
      <c r="DQ54" s="226"/>
      <c r="DR54" s="226"/>
      <c r="DS54" s="226"/>
      <c r="DT54" s="226"/>
      <c r="DU54" s="226"/>
      <c r="DV54" s="226"/>
      <c r="DW54" s="226"/>
      <c r="DX54" s="226"/>
      <c r="DY54" s="226"/>
      <c r="DZ54" s="226"/>
      <c r="EA54" s="226"/>
      <c r="EB54" s="226"/>
      <c r="EC54" s="226"/>
      <c r="ED54" s="226"/>
      <c r="EE54" s="226"/>
      <c r="EF54" s="226"/>
      <c r="EG54" s="226"/>
      <c r="EH54" s="226"/>
      <c r="EI54" s="226"/>
      <c r="EJ54" s="226"/>
      <c r="EK54" s="226"/>
      <c r="EL54" s="226"/>
      <c r="EM54" s="226"/>
      <c r="EN54" s="226"/>
      <c r="EO54" s="226"/>
      <c r="EP54" s="226"/>
      <c r="EQ54" s="226"/>
      <c r="ER54" s="226"/>
      <c r="ES54" s="226"/>
      <c r="ET54" s="226"/>
      <c r="EU54" s="226"/>
      <c r="EV54" s="226"/>
      <c r="EW54" s="226"/>
      <c r="EX54" s="226"/>
      <c r="EY54" s="226"/>
      <c r="EZ54" s="226"/>
      <c r="FA54" s="226"/>
      <c r="FB54" s="226"/>
      <c r="FC54" s="226"/>
      <c r="FD54" s="226"/>
      <c r="FE54" s="226"/>
      <c r="FF54" s="226"/>
      <c r="FG54" s="226"/>
      <c r="FH54" s="226"/>
      <c r="FI54" s="226"/>
      <c r="FJ54" s="226"/>
      <c r="FK54" s="226"/>
      <c r="FL54" s="226"/>
      <c r="FM54" s="226"/>
      <c r="FN54" s="226"/>
      <c r="FO54" s="226"/>
      <c r="FP54" s="226"/>
      <c r="FQ54" s="226"/>
      <c r="FR54" s="226"/>
      <c r="FS54" s="226"/>
      <c r="FT54" s="226"/>
      <c r="FU54" s="226"/>
      <c r="FV54" s="226"/>
      <c r="FW54" s="226"/>
      <c r="FX54" s="226"/>
      <c r="FY54" s="226"/>
      <c r="FZ54" s="226"/>
      <c r="GA54" s="226"/>
      <c r="GB54" s="226"/>
      <c r="GC54" s="226"/>
      <c r="GD54" s="226"/>
      <c r="GE54" s="226"/>
      <c r="GF54" s="226"/>
      <c r="GG54" s="226"/>
      <c r="GH54" s="226"/>
      <c r="GI54" s="226"/>
      <c r="GJ54" s="226"/>
      <c r="GK54" s="226"/>
      <c r="GL54" s="226"/>
      <c r="GM54" s="226"/>
      <c r="GN54" s="226"/>
      <c r="GO54" s="226"/>
      <c r="GP54" s="226"/>
      <c r="GQ54" s="226"/>
      <c r="GR54" s="226"/>
      <c r="GS54" s="226"/>
      <c r="GT54" s="226"/>
      <c r="GU54" s="226"/>
      <c r="GV54" s="226"/>
      <c r="GW54" s="226"/>
      <c r="GX54" s="226"/>
      <c r="GY54" s="226"/>
      <c r="GZ54" s="226"/>
      <c r="HA54" s="226"/>
      <c r="HB54" s="226"/>
      <c r="HC54" s="226"/>
      <c r="HD54" s="226"/>
      <c r="HE54" s="226"/>
      <c r="HF54" s="226"/>
      <c r="HG54" s="226"/>
      <c r="HH54" s="226"/>
      <c r="HI54" s="226"/>
      <c r="HJ54" s="226"/>
    </row>
    <row r="55" spans="1:218" ht="23.25" customHeight="1">
      <c r="A55" s="14"/>
      <c r="B55" s="14"/>
      <c r="C55" s="14"/>
      <c r="D55" s="27" t="s">
        <v>81</v>
      </c>
      <c r="E55" s="74">
        <f>SUM(E23,E20,E16,E9,)</f>
        <v>6300130</v>
      </c>
      <c r="F55" s="74">
        <f>SUM(F23,F20,F16,F9,)</f>
        <v>5507000</v>
      </c>
      <c r="G55" s="74">
        <f>SUM(G23,G20,G16,G9,)</f>
        <v>5507100</v>
      </c>
      <c r="H55" s="74">
        <f>SUM(H23,H20,H16,H9,)</f>
        <v>6300030</v>
      </c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0"/>
      <c r="AX55" s="220"/>
      <c r="AY55" s="220"/>
      <c r="AZ55" s="220"/>
      <c r="BA55" s="220"/>
      <c r="BB55" s="220"/>
      <c r="BC55" s="220"/>
      <c r="BD55" s="220"/>
      <c r="BE55" s="220"/>
      <c r="BF55" s="220"/>
      <c r="BG55" s="220"/>
      <c r="BH55" s="220"/>
      <c r="BI55" s="220"/>
      <c r="BJ55" s="220"/>
      <c r="BK55" s="220"/>
      <c r="BL55" s="220"/>
      <c r="BM55" s="220"/>
      <c r="BN55" s="220"/>
      <c r="BO55" s="220"/>
      <c r="BP55" s="220"/>
      <c r="BQ55" s="220"/>
      <c r="BR55" s="220"/>
      <c r="BS55" s="220"/>
      <c r="BT55" s="220"/>
      <c r="BU55" s="220"/>
      <c r="BV55" s="220"/>
      <c r="BW55" s="220"/>
      <c r="BX55" s="220"/>
      <c r="BY55" s="220"/>
      <c r="BZ55" s="220"/>
      <c r="CA55" s="220"/>
      <c r="CB55" s="220"/>
      <c r="CC55" s="220"/>
      <c r="CD55" s="220"/>
      <c r="CE55" s="220"/>
      <c r="CF55" s="220"/>
      <c r="CG55" s="220"/>
      <c r="CH55" s="220"/>
      <c r="CI55" s="220"/>
      <c r="CJ55" s="220"/>
      <c r="CK55" s="220"/>
      <c r="CL55" s="220"/>
      <c r="CM55" s="220"/>
      <c r="CN55" s="220"/>
      <c r="CO55" s="220"/>
      <c r="CP55" s="220"/>
      <c r="CQ55" s="220"/>
      <c r="CR55" s="220"/>
      <c r="CS55" s="220"/>
      <c r="CT55" s="220"/>
      <c r="CU55" s="220"/>
      <c r="CV55" s="220"/>
      <c r="CW55" s="220"/>
      <c r="CX55" s="220"/>
      <c r="CY55" s="220"/>
      <c r="CZ55" s="220"/>
      <c r="DA55" s="220"/>
      <c r="DB55" s="220"/>
      <c r="DC55" s="220"/>
      <c r="DD55" s="220"/>
      <c r="DE55" s="220"/>
      <c r="DF55" s="220"/>
      <c r="DG55" s="220"/>
      <c r="DH55" s="220"/>
      <c r="DI55" s="220"/>
      <c r="DJ55" s="220"/>
      <c r="DK55" s="220"/>
      <c r="DL55" s="220"/>
      <c r="DM55" s="220"/>
      <c r="DN55" s="220"/>
      <c r="DO55" s="220"/>
      <c r="DP55" s="220"/>
      <c r="DQ55" s="220"/>
      <c r="DR55" s="220"/>
      <c r="DS55" s="220"/>
      <c r="DT55" s="220"/>
      <c r="DU55" s="220"/>
      <c r="DV55" s="220"/>
      <c r="DW55" s="220"/>
      <c r="DX55" s="220"/>
      <c r="DY55" s="220"/>
      <c r="DZ55" s="220"/>
      <c r="EA55" s="220"/>
      <c r="EB55" s="220"/>
      <c r="EC55" s="220"/>
      <c r="ED55" s="220"/>
      <c r="EE55" s="220"/>
      <c r="EF55" s="220"/>
      <c r="EG55" s="220"/>
      <c r="EH55" s="220"/>
      <c r="EI55" s="220"/>
      <c r="EJ55" s="220"/>
      <c r="EK55" s="220"/>
      <c r="EL55" s="220"/>
      <c r="EM55" s="220"/>
      <c r="EN55" s="220"/>
      <c r="EO55" s="220"/>
      <c r="EP55" s="220"/>
      <c r="EQ55" s="220"/>
      <c r="ER55" s="220"/>
      <c r="ES55" s="220"/>
      <c r="ET55" s="220"/>
      <c r="EU55" s="220"/>
      <c r="EV55" s="220"/>
      <c r="EW55" s="220"/>
      <c r="EX55" s="220"/>
      <c r="EY55" s="220"/>
      <c r="EZ55" s="220"/>
      <c r="FA55" s="220"/>
      <c r="FB55" s="220"/>
      <c r="FC55" s="220"/>
      <c r="FD55" s="220"/>
      <c r="FE55" s="220"/>
      <c r="FF55" s="220"/>
      <c r="FG55" s="220"/>
      <c r="FH55" s="220"/>
      <c r="FI55" s="220"/>
      <c r="FJ55" s="220"/>
      <c r="FK55" s="220"/>
      <c r="FL55" s="220"/>
      <c r="FM55" s="220"/>
      <c r="FN55" s="220"/>
      <c r="FO55" s="220"/>
      <c r="FP55" s="220"/>
      <c r="FQ55" s="220"/>
      <c r="FR55" s="220"/>
      <c r="FS55" s="220"/>
      <c r="FT55" s="220"/>
      <c r="FU55" s="220"/>
      <c r="FV55" s="220"/>
      <c r="FW55" s="220"/>
      <c r="FX55" s="220"/>
      <c r="FY55" s="220"/>
      <c r="FZ55" s="220"/>
      <c r="GA55" s="220"/>
      <c r="GB55" s="220"/>
      <c r="GC55" s="220"/>
      <c r="GD55" s="220"/>
      <c r="GE55" s="220"/>
      <c r="GF55" s="220"/>
      <c r="GG55" s="220"/>
      <c r="GH55" s="220"/>
      <c r="GI55" s="220"/>
      <c r="GJ55" s="220"/>
      <c r="GK55" s="220"/>
      <c r="GL55" s="220"/>
      <c r="GM55" s="220"/>
      <c r="GN55" s="220"/>
      <c r="GO55" s="220"/>
      <c r="GP55" s="220"/>
      <c r="GQ55" s="220"/>
      <c r="GR55" s="220"/>
      <c r="GS55" s="220"/>
      <c r="GT55" s="220"/>
      <c r="GU55" s="220"/>
      <c r="GV55" s="220"/>
      <c r="GW55" s="220"/>
      <c r="GX55" s="220"/>
      <c r="GY55" s="220"/>
      <c r="GZ55" s="220"/>
      <c r="HA55" s="220"/>
      <c r="HB55" s="220"/>
      <c r="HC55" s="220"/>
      <c r="HD55" s="220"/>
      <c r="HE55" s="220"/>
      <c r="HF55" s="220"/>
      <c r="HG55" s="220"/>
      <c r="HH55" s="220"/>
      <c r="HI55" s="220"/>
      <c r="HJ55" s="220"/>
    </row>
    <row r="57" spans="5:7" ht="12.75">
      <c r="E57" s="43"/>
      <c r="G57" s="91"/>
    </row>
    <row r="58" spans="5:7" ht="12.75">
      <c r="E58" s="249"/>
      <c r="G58" s="91">
        <f>SUM(F55-G55)</f>
        <v>-100</v>
      </c>
    </row>
    <row r="59" ht="12.75">
      <c r="E59" s="43"/>
    </row>
    <row r="60" ht="12.75">
      <c r="E60" s="249"/>
    </row>
    <row r="61" ht="12.75">
      <c r="E61" s="43"/>
    </row>
    <row r="62" ht="12.75">
      <c r="E62" s="249"/>
    </row>
    <row r="63" ht="12.75">
      <c r="E63" s="43"/>
    </row>
    <row r="64" ht="12.75">
      <c r="E64" s="249"/>
    </row>
    <row r="65" ht="12.75">
      <c r="E65" s="249"/>
    </row>
    <row r="66" spans="5:6" ht="12.75">
      <c r="E66" s="43"/>
      <c r="F66" s="20"/>
    </row>
    <row r="67" ht="12.75">
      <c r="E67" s="43"/>
    </row>
    <row r="68" ht="12.75">
      <c r="E68" s="249"/>
    </row>
    <row r="69" ht="12.75">
      <c r="E69" s="43"/>
    </row>
    <row r="70" ht="12.75">
      <c r="E70" s="43"/>
    </row>
    <row r="71" ht="12.75">
      <c r="E71" s="43"/>
    </row>
    <row r="72" ht="12.75">
      <c r="E72" s="43"/>
    </row>
    <row r="73" ht="12.75">
      <c r="E73" s="43"/>
    </row>
  </sheetData>
  <mergeCells count="1">
    <mergeCell ref="A6:D6"/>
  </mergeCells>
  <printOptions horizontalCentered="1"/>
  <pageMargins left="0.5511811023622047" right="0.5118110236220472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&amp;C&amp;8Administracja rządowa - str.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" sqref="A1:F12"/>
    </sheetView>
  </sheetViews>
  <sheetFormatPr defaultColWidth="9.00390625" defaultRowHeight="12.75"/>
  <cols>
    <col min="1" max="1" width="6.75390625" style="9" customWidth="1"/>
    <col min="2" max="2" width="8.625" style="9" customWidth="1"/>
    <col min="3" max="3" width="5.875" style="9" customWidth="1"/>
    <col min="4" max="4" width="24.625" style="9" customWidth="1"/>
    <col min="5" max="5" width="20.125" style="9" customWidth="1"/>
    <col min="6" max="6" width="11.00390625" style="91" hidden="1" customWidth="1"/>
    <col min="7" max="7" width="11.625" style="91" hidden="1" customWidth="1"/>
    <col min="8" max="8" width="11.25390625" style="0" hidden="1" customWidth="1"/>
  </cols>
  <sheetData>
    <row r="1" spans="5:6" ht="12.75">
      <c r="E1" s="107" t="s">
        <v>359</v>
      </c>
      <c r="F1" s="107"/>
    </row>
    <row r="2" spans="5:6" ht="12.75">
      <c r="E2" s="107" t="s">
        <v>474</v>
      </c>
      <c r="F2" s="107"/>
    </row>
    <row r="3" spans="5:6" ht="12.75">
      <c r="E3" s="107" t="s">
        <v>192</v>
      </c>
      <c r="F3" s="107"/>
    </row>
    <row r="4" spans="5:6" ht="12.75">
      <c r="E4" s="107" t="s">
        <v>475</v>
      </c>
      <c r="F4" s="107"/>
    </row>
    <row r="6" spans="1:6" ht="58.5" customHeight="1">
      <c r="A6" s="411" t="s">
        <v>417</v>
      </c>
      <c r="B6" s="411"/>
      <c r="C6" s="411"/>
      <c r="D6" s="411"/>
      <c r="E6" s="411"/>
      <c r="F6" s="411"/>
    </row>
    <row r="7" spans="1:5" ht="12.75">
      <c r="A7" s="56"/>
      <c r="B7" s="56"/>
      <c r="C7" s="56"/>
      <c r="D7" s="75"/>
      <c r="E7" s="76"/>
    </row>
    <row r="8" spans="1:8" s="9" customFormat="1" ht="24.75" customHeight="1">
      <c r="A8" s="2" t="s">
        <v>0</v>
      </c>
      <c r="B8" s="2" t="s">
        <v>1</v>
      </c>
      <c r="C8" s="2" t="s">
        <v>2</v>
      </c>
      <c r="D8" s="2" t="s">
        <v>3</v>
      </c>
      <c r="E8" s="37" t="s">
        <v>165</v>
      </c>
      <c r="F8" s="34" t="s">
        <v>304</v>
      </c>
      <c r="G8" s="34" t="s">
        <v>305</v>
      </c>
      <c r="H8" s="202" t="s">
        <v>315</v>
      </c>
    </row>
    <row r="9" spans="1:8" s="8" customFormat="1" ht="28.5" customHeight="1">
      <c r="A9" s="60" t="s">
        <v>76</v>
      </c>
      <c r="B9" s="6"/>
      <c r="C9" s="6"/>
      <c r="D9" s="36" t="s">
        <v>82</v>
      </c>
      <c r="E9" s="29">
        <f aca="true" t="shared" si="0" ref="E9:H10">E10</f>
        <v>45000</v>
      </c>
      <c r="F9" s="29">
        <f t="shared" si="0"/>
        <v>0</v>
      </c>
      <c r="G9" s="29">
        <f t="shared" si="0"/>
        <v>0</v>
      </c>
      <c r="H9" s="29">
        <f t="shared" si="0"/>
        <v>45000</v>
      </c>
    </row>
    <row r="10" spans="1:8" s="43" customFormat="1" ht="24.75" customHeight="1">
      <c r="A10" s="126"/>
      <c r="B10" s="126" t="s">
        <v>77</v>
      </c>
      <c r="C10" s="89"/>
      <c r="D10" s="23" t="s">
        <v>78</v>
      </c>
      <c r="E10" s="141">
        <f t="shared" si="0"/>
        <v>45000</v>
      </c>
      <c r="F10" s="141">
        <f t="shared" si="0"/>
        <v>0</v>
      </c>
      <c r="G10" s="141">
        <f t="shared" si="0"/>
        <v>0</v>
      </c>
      <c r="H10" s="141">
        <f t="shared" si="0"/>
        <v>45000</v>
      </c>
    </row>
    <row r="11" spans="1:8" s="43" customFormat="1" ht="28.5" customHeight="1">
      <c r="A11" s="126"/>
      <c r="B11" s="126"/>
      <c r="C11" s="89">
        <v>2480</v>
      </c>
      <c r="D11" s="23" t="s">
        <v>161</v>
      </c>
      <c r="E11" s="141">
        <v>45000</v>
      </c>
      <c r="F11" s="148"/>
      <c r="G11" s="148"/>
      <c r="H11" s="148">
        <f>SUM(E11+F11-G11)</f>
        <v>45000</v>
      </c>
    </row>
    <row r="12" spans="1:8" s="8" customFormat="1" ht="24.75" customHeight="1">
      <c r="A12" s="33"/>
      <c r="B12" s="33"/>
      <c r="C12" s="33"/>
      <c r="D12" s="6" t="s">
        <v>81</v>
      </c>
      <c r="E12" s="29">
        <f>E9</f>
        <v>45000</v>
      </c>
      <c r="F12" s="29">
        <f>F9</f>
        <v>0</v>
      </c>
      <c r="G12" s="29">
        <f>G9</f>
        <v>0</v>
      </c>
      <c r="H12" s="29">
        <f>H9</f>
        <v>45000</v>
      </c>
    </row>
    <row r="15" ht="12.75">
      <c r="E15" s="51"/>
    </row>
    <row r="16" ht="12.75">
      <c r="E16" s="51"/>
    </row>
    <row r="17" ht="12.75">
      <c r="E17" s="69"/>
    </row>
    <row r="18" ht="12.75">
      <c r="E18" s="51"/>
    </row>
    <row r="19" ht="12.75">
      <c r="E19" s="51"/>
    </row>
  </sheetData>
  <mergeCells count="1">
    <mergeCell ref="A6:F6"/>
  </mergeCells>
  <printOptions horizontalCentered="1"/>
  <pageMargins left="0.57" right="0.7874015748031497" top="0.7874015748031497" bottom="0.7874015748031497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46">
      <selection activeCell="J48" sqref="J48"/>
    </sheetView>
  </sheetViews>
  <sheetFormatPr defaultColWidth="9.00390625" defaultRowHeight="12.75"/>
  <cols>
    <col min="1" max="1" width="6.25390625" style="9" customWidth="1"/>
    <col min="2" max="2" width="8.625" style="9" customWidth="1"/>
    <col min="3" max="3" width="5.75390625" style="9" customWidth="1"/>
    <col min="4" max="4" width="32.625" style="9" customWidth="1"/>
    <col min="5" max="5" width="12.75390625" style="0" hidden="1" customWidth="1"/>
    <col min="6" max="6" width="11.00390625" style="0" hidden="1" customWidth="1"/>
    <col min="7" max="7" width="12.00390625" style="0" hidden="1" customWidth="1"/>
    <col min="8" max="8" width="20.625" style="0" customWidth="1"/>
  </cols>
  <sheetData>
    <row r="1" spans="5:8" ht="12.75">
      <c r="E1" s="107"/>
      <c r="F1" s="107"/>
      <c r="G1" s="107"/>
      <c r="H1" s="107" t="s">
        <v>282</v>
      </c>
    </row>
    <row r="2" spans="5:8" ht="12.75">
      <c r="E2" s="107"/>
      <c r="F2" s="107"/>
      <c r="G2" s="107"/>
      <c r="H2" s="107" t="s">
        <v>474</v>
      </c>
    </row>
    <row r="3" spans="5:8" ht="12.75">
      <c r="E3" s="107"/>
      <c r="F3" s="107"/>
      <c r="G3" s="107"/>
      <c r="H3" s="107" t="s">
        <v>192</v>
      </c>
    </row>
    <row r="4" spans="5:8" ht="12.75">
      <c r="E4" s="107"/>
      <c r="F4" s="107"/>
      <c r="G4" s="107"/>
      <c r="H4" s="107" t="s">
        <v>475</v>
      </c>
    </row>
    <row r="5" spans="1:4" ht="17.25" customHeight="1">
      <c r="A5" s="408" t="s">
        <v>362</v>
      </c>
      <c r="B5" s="408"/>
      <c r="C5" s="408"/>
      <c r="D5" s="408"/>
    </row>
    <row r="6" spans="1:4" ht="12.75">
      <c r="A6" s="14"/>
      <c r="B6" s="14"/>
      <c r="C6" s="14"/>
      <c r="D6" s="62"/>
    </row>
    <row r="7" spans="1:8" s="9" customFormat="1" ht="35.25" customHeight="1">
      <c r="A7" s="7" t="s">
        <v>0</v>
      </c>
      <c r="B7" s="6" t="s">
        <v>1</v>
      </c>
      <c r="C7" s="38" t="s">
        <v>2</v>
      </c>
      <c r="D7" s="6" t="s">
        <v>3</v>
      </c>
      <c r="E7" s="202" t="s">
        <v>165</v>
      </c>
      <c r="F7" s="2" t="s">
        <v>304</v>
      </c>
      <c r="G7" s="2" t="s">
        <v>308</v>
      </c>
      <c r="H7" s="202" t="s">
        <v>168</v>
      </c>
    </row>
    <row r="8" spans="1:8" s="8" customFormat="1" ht="21.75" customHeight="1">
      <c r="A8" s="57" t="s">
        <v>88</v>
      </c>
      <c r="B8" s="6"/>
      <c r="C8" s="38"/>
      <c r="D8" s="36" t="s">
        <v>89</v>
      </c>
      <c r="E8" s="71">
        <f>E9</f>
        <v>609000</v>
      </c>
      <c r="F8" s="71">
        <f>F9</f>
        <v>50000</v>
      </c>
      <c r="G8" s="71">
        <f>G9</f>
        <v>0</v>
      </c>
      <c r="H8" s="71">
        <f>H9</f>
        <v>659000</v>
      </c>
    </row>
    <row r="9" spans="1:8" s="43" customFormat="1" ht="21.75" customHeight="1">
      <c r="A9" s="125"/>
      <c r="B9" s="126" t="s">
        <v>90</v>
      </c>
      <c r="C9" s="135"/>
      <c r="D9" s="23" t="s">
        <v>91</v>
      </c>
      <c r="E9" s="104">
        <f>SUM(E10,E19)</f>
        <v>609000</v>
      </c>
      <c r="F9" s="104">
        <f>SUM(F10,F19)</f>
        <v>50000</v>
      </c>
      <c r="G9" s="104">
        <f>SUM(G10,G19)</f>
        <v>0</v>
      </c>
      <c r="H9" s="104">
        <f>SUM(H10,H19)</f>
        <v>659000</v>
      </c>
    </row>
    <row r="10" spans="1:8" s="43" customFormat="1" ht="24" customHeight="1">
      <c r="A10" s="133"/>
      <c r="B10" s="89"/>
      <c r="C10" s="135">
        <v>6050</v>
      </c>
      <c r="D10" s="23" t="s">
        <v>87</v>
      </c>
      <c r="E10" s="104">
        <f>SUM(E11:E18)</f>
        <v>609000</v>
      </c>
      <c r="F10" s="104">
        <f>SUM(F11:F18)</f>
        <v>0</v>
      </c>
      <c r="G10" s="104">
        <f>SUM(G11:G18)</f>
        <v>0</v>
      </c>
      <c r="H10" s="104">
        <f>SUM(H11:H18)</f>
        <v>609000</v>
      </c>
    </row>
    <row r="11" spans="1:8" s="52" customFormat="1" ht="19.5" customHeight="1">
      <c r="A11" s="81"/>
      <c r="B11" s="82"/>
      <c r="C11" s="83"/>
      <c r="D11" s="87" t="s">
        <v>260</v>
      </c>
      <c r="E11" s="155">
        <v>31000</v>
      </c>
      <c r="F11" s="195"/>
      <c r="G11" s="155"/>
      <c r="H11" s="155">
        <f aca="true" t="shared" si="0" ref="H11:H20">SUM(E11+F11-G11)</f>
        <v>31000</v>
      </c>
    </row>
    <row r="12" spans="1:8" s="52" customFormat="1" ht="19.5" customHeight="1">
      <c r="A12" s="81"/>
      <c r="B12" s="82"/>
      <c r="C12" s="83"/>
      <c r="D12" s="87" t="s">
        <v>316</v>
      </c>
      <c r="E12" s="155">
        <v>19000</v>
      </c>
      <c r="F12" s="155"/>
      <c r="G12" s="155"/>
      <c r="H12" s="155">
        <f t="shared" si="0"/>
        <v>19000</v>
      </c>
    </row>
    <row r="13" spans="1:8" s="52" customFormat="1" ht="19.5" customHeight="1">
      <c r="A13" s="81"/>
      <c r="B13" s="82"/>
      <c r="C13" s="83"/>
      <c r="D13" s="87" t="s">
        <v>361</v>
      </c>
      <c r="E13" s="155">
        <v>19000</v>
      </c>
      <c r="F13" s="155"/>
      <c r="G13" s="155"/>
      <c r="H13" s="155">
        <f t="shared" si="0"/>
        <v>19000</v>
      </c>
    </row>
    <row r="14" spans="1:8" s="52" customFormat="1" ht="11.25">
      <c r="A14" s="81"/>
      <c r="B14" s="82"/>
      <c r="C14" s="83"/>
      <c r="D14" s="87" t="s">
        <v>366</v>
      </c>
      <c r="E14" s="155">
        <v>20000</v>
      </c>
      <c r="F14" s="155"/>
      <c r="G14" s="155"/>
      <c r="H14" s="155">
        <f t="shared" si="0"/>
        <v>20000</v>
      </c>
    </row>
    <row r="15" spans="1:8" s="52" customFormat="1" ht="52.5" customHeight="1">
      <c r="A15" s="81"/>
      <c r="B15" s="82"/>
      <c r="C15" s="83"/>
      <c r="D15" s="87" t="s">
        <v>473</v>
      </c>
      <c r="E15" s="155">
        <v>190000</v>
      </c>
      <c r="F15" s="155"/>
      <c r="G15" s="155"/>
      <c r="H15" s="155">
        <f t="shared" si="0"/>
        <v>190000</v>
      </c>
    </row>
    <row r="16" spans="1:8" s="52" customFormat="1" ht="19.5" customHeight="1">
      <c r="A16" s="81"/>
      <c r="B16" s="82"/>
      <c r="C16" s="83"/>
      <c r="D16" s="87" t="s">
        <v>364</v>
      </c>
      <c r="E16" s="155">
        <v>40000</v>
      </c>
      <c r="F16" s="155"/>
      <c r="G16" s="155"/>
      <c r="H16" s="155">
        <f t="shared" si="0"/>
        <v>40000</v>
      </c>
    </row>
    <row r="17" spans="1:8" s="52" customFormat="1" ht="19.5" customHeight="1">
      <c r="A17" s="81"/>
      <c r="B17" s="82"/>
      <c r="C17" s="83"/>
      <c r="D17" s="87" t="s">
        <v>365</v>
      </c>
      <c r="E17" s="155">
        <v>70000</v>
      </c>
      <c r="F17" s="155"/>
      <c r="G17" s="155"/>
      <c r="H17" s="155">
        <f t="shared" si="0"/>
        <v>70000</v>
      </c>
    </row>
    <row r="18" spans="1:8" s="52" customFormat="1" ht="19.5" customHeight="1">
      <c r="A18" s="81"/>
      <c r="B18" s="82"/>
      <c r="C18" s="83"/>
      <c r="D18" s="84" t="s">
        <v>264</v>
      </c>
      <c r="E18" s="155">
        <v>220000</v>
      </c>
      <c r="F18" s="195"/>
      <c r="G18" s="155"/>
      <c r="H18" s="155">
        <f t="shared" si="0"/>
        <v>220000</v>
      </c>
    </row>
    <row r="19" spans="1:8" s="43" customFormat="1" ht="22.5">
      <c r="A19" s="133"/>
      <c r="B19" s="89"/>
      <c r="C19" s="135">
        <v>6800</v>
      </c>
      <c r="D19" s="23" t="s">
        <v>449</v>
      </c>
      <c r="E19" s="148">
        <f>SUM(E20)</f>
        <v>0</v>
      </c>
      <c r="F19" s="148">
        <f>SUM(F20)</f>
        <v>50000</v>
      </c>
      <c r="G19" s="148">
        <f>SUM(G20)</f>
        <v>0</v>
      </c>
      <c r="H19" s="148">
        <f>SUM(H20)</f>
        <v>50000</v>
      </c>
    </row>
    <row r="20" spans="1:8" s="52" customFormat="1" ht="22.5">
      <c r="A20" s="81"/>
      <c r="B20" s="82"/>
      <c r="C20" s="83"/>
      <c r="D20" s="87" t="s">
        <v>472</v>
      </c>
      <c r="E20" s="155">
        <v>0</v>
      </c>
      <c r="F20" s="155">
        <v>50000</v>
      </c>
      <c r="G20" s="155"/>
      <c r="H20" s="155">
        <f t="shared" si="0"/>
        <v>50000</v>
      </c>
    </row>
    <row r="21" spans="1:8" s="20" customFormat="1" ht="21.75" customHeight="1">
      <c r="A21" s="57" t="s">
        <v>11</v>
      </c>
      <c r="B21" s="6"/>
      <c r="C21" s="38"/>
      <c r="D21" s="36" t="s">
        <v>12</v>
      </c>
      <c r="E21" s="29">
        <f>SUM(E24)</f>
        <v>100000</v>
      </c>
      <c r="F21" s="29">
        <f>SUM(F24)</f>
        <v>0</v>
      </c>
      <c r="G21" s="29">
        <f>SUM(G24)</f>
        <v>0</v>
      </c>
      <c r="H21" s="29">
        <f>SUM(H24)</f>
        <v>100000</v>
      </c>
    </row>
    <row r="22" spans="1:8" s="43" customFormat="1" ht="22.5" hidden="1">
      <c r="A22" s="125"/>
      <c r="B22" s="89"/>
      <c r="C22" s="126">
        <v>6050</v>
      </c>
      <c r="D22" s="23" t="s">
        <v>87</v>
      </c>
      <c r="E22" s="141" t="e">
        <f>SUM(E23)</f>
        <v>#REF!</v>
      </c>
      <c r="F22" s="141">
        <f>SUM(F23)</f>
        <v>0</v>
      </c>
      <c r="G22" s="141">
        <f>SUM(G23)</f>
        <v>0</v>
      </c>
      <c r="H22" s="141" t="e">
        <f>SUM(H23)</f>
        <v>#REF!</v>
      </c>
    </row>
    <row r="23" spans="1:8" s="52" customFormat="1" ht="27" customHeight="1" hidden="1">
      <c r="A23" s="85"/>
      <c r="B23" s="82"/>
      <c r="C23" s="177"/>
      <c r="D23" s="157" t="s">
        <v>313</v>
      </c>
      <c r="E23" s="155" t="e">
        <f>SUM(#REF!+#REF!-#REF!)</f>
        <v>#REF!</v>
      </c>
      <c r="F23" s="195"/>
      <c r="G23" s="155"/>
      <c r="H23" s="155" t="e">
        <f>SUM(E23+F23-G23)</f>
        <v>#REF!</v>
      </c>
    </row>
    <row r="24" spans="1:8" s="43" customFormat="1" ht="21.75" customHeight="1">
      <c r="A24" s="125"/>
      <c r="B24" s="126">
        <v>70095</v>
      </c>
      <c r="C24" s="135"/>
      <c r="D24" s="23" t="s">
        <v>6</v>
      </c>
      <c r="E24" s="155">
        <f>E25</f>
        <v>100000</v>
      </c>
      <c r="F24" s="141">
        <f>SUM(F25)</f>
        <v>0</v>
      </c>
      <c r="G24" s="141">
        <f>SUM(G25)</f>
        <v>0</v>
      </c>
      <c r="H24" s="155">
        <f>SUM(E24+F24-G24)</f>
        <v>100000</v>
      </c>
    </row>
    <row r="25" spans="1:8" s="43" customFormat="1" ht="24" customHeight="1">
      <c r="A25" s="125"/>
      <c r="B25" s="126"/>
      <c r="C25" s="127">
        <v>6050</v>
      </c>
      <c r="D25" s="23" t="s">
        <v>87</v>
      </c>
      <c r="E25" s="141">
        <f>SUM(E26)</f>
        <v>100000</v>
      </c>
      <c r="F25" s="141">
        <f>SUM(F26)</f>
        <v>0</v>
      </c>
      <c r="G25" s="141">
        <f>SUM(G26)</f>
        <v>0</v>
      </c>
      <c r="H25" s="141">
        <f>SUM(H26)</f>
        <v>100000</v>
      </c>
    </row>
    <row r="26" spans="1:8" s="43" customFormat="1" ht="19.5" customHeight="1">
      <c r="A26" s="85"/>
      <c r="B26" s="82"/>
      <c r="C26" s="86"/>
      <c r="D26" s="87" t="s">
        <v>179</v>
      </c>
      <c r="E26" s="155">
        <v>100000</v>
      </c>
      <c r="F26" s="155"/>
      <c r="G26" s="194"/>
      <c r="H26" s="155">
        <f>SUM(E26+F26-G26)</f>
        <v>100000</v>
      </c>
    </row>
    <row r="27" spans="1:8" s="72" customFormat="1" ht="22.5" customHeight="1">
      <c r="A27" s="57">
        <v>750</v>
      </c>
      <c r="B27" s="6"/>
      <c r="C27" s="22"/>
      <c r="D27" s="36" t="s">
        <v>97</v>
      </c>
      <c r="E27" s="74">
        <f>E28</f>
        <v>30000</v>
      </c>
      <c r="F27" s="74">
        <f aca="true" t="shared" si="1" ref="F27:H28">F28</f>
        <v>0</v>
      </c>
      <c r="G27" s="74">
        <f t="shared" si="1"/>
        <v>0</v>
      </c>
      <c r="H27" s="74">
        <f t="shared" si="1"/>
        <v>30000</v>
      </c>
    </row>
    <row r="28" spans="1:8" s="43" customFormat="1" ht="25.5" customHeight="1">
      <c r="A28" s="125"/>
      <c r="B28" s="138" t="s">
        <v>21</v>
      </c>
      <c r="C28" s="142"/>
      <c r="D28" s="68" t="s">
        <v>22</v>
      </c>
      <c r="E28" s="148">
        <f>E29</f>
        <v>30000</v>
      </c>
      <c r="F28" s="148">
        <f t="shared" si="1"/>
        <v>0</v>
      </c>
      <c r="G28" s="148">
        <f t="shared" si="1"/>
        <v>0</v>
      </c>
      <c r="H28" s="148">
        <f t="shared" si="1"/>
        <v>30000</v>
      </c>
    </row>
    <row r="29" spans="1:8" s="43" customFormat="1" ht="23.25" customHeight="1">
      <c r="A29" s="125"/>
      <c r="B29" s="89"/>
      <c r="C29" s="128">
        <v>6060</v>
      </c>
      <c r="D29" s="23" t="s">
        <v>110</v>
      </c>
      <c r="E29" s="148">
        <f>SUM(E30)</f>
        <v>30000</v>
      </c>
      <c r="F29" s="148">
        <f>SUM(F30)</f>
        <v>0</v>
      </c>
      <c r="G29" s="148">
        <f>SUM(G30)</f>
        <v>0</v>
      </c>
      <c r="H29" s="148">
        <f>SUM(H30)</f>
        <v>30000</v>
      </c>
    </row>
    <row r="30" spans="1:8" s="52" customFormat="1" ht="24" customHeight="1">
      <c r="A30" s="85"/>
      <c r="B30" s="82"/>
      <c r="C30" s="86"/>
      <c r="D30" s="87" t="s">
        <v>180</v>
      </c>
      <c r="E30" s="155">
        <v>30000</v>
      </c>
      <c r="F30" s="195"/>
      <c r="G30" s="195"/>
      <c r="H30" s="155">
        <f>SUM(E30+F30-G30)</f>
        <v>30000</v>
      </c>
    </row>
    <row r="31" spans="1:8" s="72" customFormat="1" ht="26.25" customHeight="1">
      <c r="A31" s="57">
        <v>754</v>
      </c>
      <c r="B31" s="6"/>
      <c r="C31" s="22"/>
      <c r="D31" s="36" t="s">
        <v>26</v>
      </c>
      <c r="E31" s="74">
        <f aca="true" t="shared" si="2" ref="E31:H33">SUM(E32)</f>
        <v>70000</v>
      </c>
      <c r="F31" s="74">
        <f t="shared" si="2"/>
        <v>0</v>
      </c>
      <c r="G31" s="74">
        <f t="shared" si="2"/>
        <v>0</v>
      </c>
      <c r="H31" s="74">
        <f t="shared" si="2"/>
        <v>70000</v>
      </c>
    </row>
    <row r="32" spans="1:8" s="43" customFormat="1" ht="26.25" customHeight="1">
      <c r="A32" s="125"/>
      <c r="B32" s="89">
        <v>75412</v>
      </c>
      <c r="C32" s="128"/>
      <c r="D32" s="23" t="s">
        <v>115</v>
      </c>
      <c r="E32" s="148">
        <f>E33</f>
        <v>70000</v>
      </c>
      <c r="F32" s="148">
        <f t="shared" si="2"/>
        <v>0</v>
      </c>
      <c r="G32" s="148">
        <f t="shared" si="2"/>
        <v>0</v>
      </c>
      <c r="H32" s="148">
        <f>E32+F32-G32</f>
        <v>70000</v>
      </c>
    </row>
    <row r="33" spans="1:8" s="43" customFormat="1" ht="26.25" customHeight="1">
      <c r="A33" s="85"/>
      <c r="B33" s="82"/>
      <c r="C33" s="128">
        <v>6050</v>
      </c>
      <c r="D33" s="23" t="s">
        <v>87</v>
      </c>
      <c r="E33" s="148">
        <f t="shared" si="2"/>
        <v>70000</v>
      </c>
      <c r="F33" s="148">
        <f t="shared" si="2"/>
        <v>0</v>
      </c>
      <c r="G33" s="148">
        <f t="shared" si="2"/>
        <v>0</v>
      </c>
      <c r="H33" s="148">
        <f t="shared" si="2"/>
        <v>70000</v>
      </c>
    </row>
    <row r="34" spans="1:8" s="43" customFormat="1" ht="19.5" customHeight="1">
      <c r="A34" s="85"/>
      <c r="B34" s="82"/>
      <c r="C34" s="86"/>
      <c r="D34" s="87" t="s">
        <v>338</v>
      </c>
      <c r="E34" s="155">
        <v>70000</v>
      </c>
      <c r="F34" s="155"/>
      <c r="G34" s="195"/>
      <c r="H34" s="155">
        <f>SUM(E34+F34-G34)</f>
        <v>70000</v>
      </c>
    </row>
    <row r="35" spans="1:8" s="72" customFormat="1" ht="21.75" customHeight="1">
      <c r="A35" s="57">
        <v>801</v>
      </c>
      <c r="B35" s="6"/>
      <c r="C35" s="22"/>
      <c r="D35" s="36" t="s">
        <v>127</v>
      </c>
      <c r="E35" s="29">
        <f>SUM(E36)</f>
        <v>3500</v>
      </c>
      <c r="F35" s="29">
        <f>SUM(F36)</f>
        <v>0</v>
      </c>
      <c r="G35" s="29">
        <f>SUM(G36)</f>
        <v>0</v>
      </c>
      <c r="H35" s="155">
        <f>E35+F35-G35</f>
        <v>3500</v>
      </c>
    </row>
    <row r="36" spans="1:8" s="43" customFormat="1" ht="18" customHeight="1">
      <c r="A36" s="125"/>
      <c r="B36" s="89">
        <v>80110</v>
      </c>
      <c r="C36" s="128"/>
      <c r="D36" s="23" t="s">
        <v>63</v>
      </c>
      <c r="E36" s="141">
        <f aca="true" t="shared" si="3" ref="E36:H37">SUM(E37)</f>
        <v>3500</v>
      </c>
      <c r="F36" s="141">
        <f t="shared" si="3"/>
        <v>0</v>
      </c>
      <c r="G36" s="141">
        <f t="shared" si="3"/>
        <v>0</v>
      </c>
      <c r="H36" s="141">
        <f t="shared" si="3"/>
        <v>3500</v>
      </c>
    </row>
    <row r="37" spans="1:8" s="43" customFormat="1" ht="21.75" customHeight="1">
      <c r="A37" s="125"/>
      <c r="B37" s="89"/>
      <c r="C37" s="128">
        <v>6060</v>
      </c>
      <c r="D37" s="23" t="s">
        <v>110</v>
      </c>
      <c r="E37" s="141">
        <f t="shared" si="3"/>
        <v>3500</v>
      </c>
      <c r="F37" s="141">
        <f t="shared" si="3"/>
        <v>0</v>
      </c>
      <c r="G37" s="141">
        <f t="shared" si="3"/>
        <v>0</v>
      </c>
      <c r="H37" s="141">
        <f t="shared" si="3"/>
        <v>3500</v>
      </c>
    </row>
    <row r="38" spans="1:8" s="52" customFormat="1" ht="24" customHeight="1">
      <c r="A38" s="85"/>
      <c r="B38" s="82"/>
      <c r="C38" s="86"/>
      <c r="D38" s="87" t="s">
        <v>180</v>
      </c>
      <c r="E38" s="155">
        <v>3500</v>
      </c>
      <c r="F38" s="195"/>
      <c r="G38" s="195"/>
      <c r="H38" s="155">
        <f>SUM(E38+F38-G38)</f>
        <v>3500</v>
      </c>
    </row>
    <row r="39" spans="1:8" s="72" customFormat="1" ht="24" customHeight="1">
      <c r="A39" s="57">
        <v>851</v>
      </c>
      <c r="B39" s="6"/>
      <c r="C39" s="22"/>
      <c r="D39" s="36" t="s">
        <v>64</v>
      </c>
      <c r="E39" s="74">
        <f>E43+E40</f>
        <v>23109</v>
      </c>
      <c r="F39" s="74">
        <f>F43+F40</f>
        <v>23109</v>
      </c>
      <c r="G39" s="74">
        <f>G43+G40</f>
        <v>23109</v>
      </c>
      <c r="H39" s="74">
        <f>H43+H40</f>
        <v>23109</v>
      </c>
    </row>
    <row r="40" spans="1:8" s="43" customFormat="1" ht="24" customHeight="1">
      <c r="A40" s="125"/>
      <c r="B40" s="89">
        <v>85153</v>
      </c>
      <c r="C40" s="128"/>
      <c r="D40" s="23" t="s">
        <v>458</v>
      </c>
      <c r="E40" s="148">
        <f>SUM(E41)</f>
        <v>0</v>
      </c>
      <c r="F40" s="148">
        <f aca="true" t="shared" si="4" ref="F40:H41">SUM(F41)</f>
        <v>23109</v>
      </c>
      <c r="G40" s="148">
        <f t="shared" si="4"/>
        <v>0</v>
      </c>
      <c r="H40" s="148">
        <f t="shared" si="4"/>
        <v>23109</v>
      </c>
    </row>
    <row r="41" spans="1:8" s="72" customFormat="1" ht="24" customHeight="1">
      <c r="A41" s="57"/>
      <c r="B41" s="6"/>
      <c r="C41" s="128">
        <v>6060</v>
      </c>
      <c r="D41" s="23" t="s">
        <v>110</v>
      </c>
      <c r="E41" s="148">
        <f>SUM(E42)</f>
        <v>0</v>
      </c>
      <c r="F41" s="148">
        <f t="shared" si="4"/>
        <v>23109</v>
      </c>
      <c r="G41" s="148">
        <f t="shared" si="4"/>
        <v>0</v>
      </c>
      <c r="H41" s="148">
        <f t="shared" si="4"/>
        <v>23109</v>
      </c>
    </row>
    <row r="42" spans="1:8" s="72" customFormat="1" ht="24" customHeight="1">
      <c r="A42" s="57"/>
      <c r="B42" s="6"/>
      <c r="C42" s="128"/>
      <c r="D42" s="87" t="s">
        <v>296</v>
      </c>
      <c r="E42" s="155">
        <v>0</v>
      </c>
      <c r="F42" s="155">
        <v>23109</v>
      </c>
      <c r="G42" s="155"/>
      <c r="H42" s="155">
        <f>SUM(E42+F42-G42)</f>
        <v>23109</v>
      </c>
    </row>
    <row r="43" spans="1:8" s="43" customFormat="1" ht="21.75" customHeight="1" hidden="1">
      <c r="A43" s="125"/>
      <c r="B43" s="89">
        <v>85154</v>
      </c>
      <c r="C43" s="128"/>
      <c r="D43" s="23" t="s">
        <v>65</v>
      </c>
      <c r="E43" s="141">
        <f>SUM(E44)</f>
        <v>23109</v>
      </c>
      <c r="F43" s="141">
        <f>SUM(F44)</f>
        <v>0</v>
      </c>
      <c r="G43" s="141">
        <f>SUM(G44)</f>
        <v>23109</v>
      </c>
      <c r="H43" s="141">
        <f>SUM(H44)</f>
        <v>0</v>
      </c>
    </row>
    <row r="44" spans="1:8" s="43" customFormat="1" ht="25.5" customHeight="1" hidden="1">
      <c r="A44" s="125"/>
      <c r="B44" s="89"/>
      <c r="C44" s="128">
        <v>6060</v>
      </c>
      <c r="D44" s="23" t="s">
        <v>110</v>
      </c>
      <c r="E44" s="148">
        <f>E45</f>
        <v>23109</v>
      </c>
      <c r="F44" s="148">
        <f>SUM(F45)</f>
        <v>0</v>
      </c>
      <c r="G44" s="148">
        <f>SUM(G45)</f>
        <v>23109</v>
      </c>
      <c r="H44" s="148">
        <f>SUM(E44+F44-G44)</f>
        <v>0</v>
      </c>
    </row>
    <row r="45" spans="1:8" s="43" customFormat="1" ht="24.75" customHeight="1" hidden="1">
      <c r="A45" s="125"/>
      <c r="B45" s="89"/>
      <c r="C45" s="128"/>
      <c r="D45" s="87" t="s">
        <v>296</v>
      </c>
      <c r="E45" s="155">
        <v>23109</v>
      </c>
      <c r="F45" s="155"/>
      <c r="G45" s="155">
        <v>23109</v>
      </c>
      <c r="H45" s="155">
        <f>SUM(E45+F45-G45)</f>
        <v>0</v>
      </c>
    </row>
    <row r="46" spans="1:8" s="72" customFormat="1" ht="27" customHeight="1">
      <c r="A46" s="57" t="s">
        <v>146</v>
      </c>
      <c r="B46" s="6"/>
      <c r="C46" s="38"/>
      <c r="D46" s="36" t="s">
        <v>73</v>
      </c>
      <c r="E46" s="29">
        <f>SUM(E47,E54)</f>
        <v>9037636</v>
      </c>
      <c r="F46" s="29">
        <f>SUM(F47,F54)</f>
        <v>197000</v>
      </c>
      <c r="G46" s="29">
        <f>SUM(G47,G54)</f>
        <v>215000</v>
      </c>
      <c r="H46" s="29">
        <f>SUM(H47,H54)</f>
        <v>9019636</v>
      </c>
    </row>
    <row r="47" spans="1:8" s="43" customFormat="1" ht="21.75" customHeight="1">
      <c r="A47" s="125"/>
      <c r="B47" s="126" t="s">
        <v>147</v>
      </c>
      <c r="C47" s="135"/>
      <c r="D47" s="23" t="s">
        <v>74</v>
      </c>
      <c r="E47" s="141">
        <f>SUM(E48,E50,E52,)</f>
        <v>8767636</v>
      </c>
      <c r="F47" s="141">
        <f>SUM(F48,F50,F52,)</f>
        <v>0</v>
      </c>
      <c r="G47" s="141">
        <f>SUM(G48,G50,G52,)</f>
        <v>35000</v>
      </c>
      <c r="H47" s="141">
        <f>SUM(H48,H50,H52,)</f>
        <v>8732636</v>
      </c>
    </row>
    <row r="48" spans="1:8" s="43" customFormat="1" ht="24" customHeight="1">
      <c r="A48" s="125"/>
      <c r="B48" s="126"/>
      <c r="C48" s="127">
        <v>6050</v>
      </c>
      <c r="D48" s="23" t="s">
        <v>87</v>
      </c>
      <c r="E48" s="148">
        <f>SUM(E49)</f>
        <v>100000</v>
      </c>
      <c r="F48" s="148">
        <f>SUM(F49)</f>
        <v>0</v>
      </c>
      <c r="G48" s="148">
        <f>SUM(G49)</f>
        <v>35000</v>
      </c>
      <c r="H48" s="148">
        <f>SUM(H49)</f>
        <v>65000</v>
      </c>
    </row>
    <row r="49" spans="1:8" s="52" customFormat="1" ht="19.5" customHeight="1">
      <c r="A49" s="85"/>
      <c r="B49" s="177"/>
      <c r="C49" s="207"/>
      <c r="D49" s="90" t="s">
        <v>444</v>
      </c>
      <c r="E49" s="155">
        <v>100000</v>
      </c>
      <c r="F49" s="155"/>
      <c r="G49" s="155">
        <v>35000</v>
      </c>
      <c r="H49" s="155">
        <f>SUM(E49+F49-G49)</f>
        <v>65000</v>
      </c>
    </row>
    <row r="50" spans="1:8" s="43" customFormat="1" ht="24.75" customHeight="1">
      <c r="A50" s="125"/>
      <c r="B50" s="126"/>
      <c r="C50" s="127">
        <v>6058</v>
      </c>
      <c r="D50" s="23" t="s">
        <v>87</v>
      </c>
      <c r="E50" s="141">
        <f>SUM(E51)</f>
        <v>5717636</v>
      </c>
      <c r="F50" s="141">
        <f>SUM(F51)</f>
        <v>0</v>
      </c>
      <c r="G50" s="141">
        <f>SUM(G51)</f>
        <v>0</v>
      </c>
      <c r="H50" s="141">
        <f>SUM(H51)</f>
        <v>5717636</v>
      </c>
    </row>
    <row r="51" spans="1:8" s="43" customFormat="1" ht="49.5" customHeight="1">
      <c r="A51" s="125"/>
      <c r="B51" s="126"/>
      <c r="C51" s="127"/>
      <c r="D51" s="90" t="s">
        <v>301</v>
      </c>
      <c r="E51" s="88">
        <v>5717636</v>
      </c>
      <c r="F51" s="155"/>
      <c r="G51" s="155"/>
      <c r="H51" s="155">
        <f>SUM(E51+F51-G51)</f>
        <v>5717636</v>
      </c>
    </row>
    <row r="52" spans="1:8" s="43" customFormat="1" ht="21.75" customHeight="1">
      <c r="A52" s="125"/>
      <c r="B52" s="126"/>
      <c r="C52" s="127">
        <v>6059</v>
      </c>
      <c r="D52" s="23" t="s">
        <v>87</v>
      </c>
      <c r="E52" s="141">
        <f>SUM(E53)</f>
        <v>2950000</v>
      </c>
      <c r="F52" s="141">
        <f>SUM(F53)</f>
        <v>0</v>
      </c>
      <c r="G52" s="141">
        <f>SUM(G53)</f>
        <v>0</v>
      </c>
      <c r="H52" s="141">
        <f>SUM(H53)</f>
        <v>2950000</v>
      </c>
    </row>
    <row r="53" spans="1:8" s="43" customFormat="1" ht="49.5" customHeight="1">
      <c r="A53" s="125"/>
      <c r="B53" s="126"/>
      <c r="C53" s="127"/>
      <c r="D53" s="90" t="s">
        <v>301</v>
      </c>
      <c r="E53" s="88">
        <v>2950000</v>
      </c>
      <c r="F53" s="155"/>
      <c r="G53" s="155"/>
      <c r="H53" s="155">
        <f>SUM(E53+F53-G53)</f>
        <v>2950000</v>
      </c>
    </row>
    <row r="54" spans="1:8" s="43" customFormat="1" ht="24" customHeight="1">
      <c r="A54" s="125"/>
      <c r="B54" s="126" t="s">
        <v>156</v>
      </c>
      <c r="C54" s="135"/>
      <c r="D54" s="23" t="s">
        <v>157</v>
      </c>
      <c r="E54" s="141">
        <f>SUM(E55:E55)</f>
        <v>270000</v>
      </c>
      <c r="F54" s="141">
        <f>SUM(F55:F55)</f>
        <v>197000</v>
      </c>
      <c r="G54" s="141">
        <f>SUM(G55:G55)</f>
        <v>180000</v>
      </c>
      <c r="H54" s="141">
        <f>SUM(H55:H55)</f>
        <v>287000</v>
      </c>
    </row>
    <row r="55" spans="1:8" s="43" customFormat="1" ht="24" customHeight="1">
      <c r="A55" s="125"/>
      <c r="B55" s="89"/>
      <c r="C55" s="127">
        <v>6050</v>
      </c>
      <c r="D55" s="23" t="s">
        <v>87</v>
      </c>
      <c r="E55" s="141">
        <f>SUM(E56:E61)</f>
        <v>270000</v>
      </c>
      <c r="F55" s="141">
        <f>SUM(F56:F61)</f>
        <v>197000</v>
      </c>
      <c r="G55" s="141">
        <f>SUM(G56:G61)</f>
        <v>180000</v>
      </c>
      <c r="H55" s="141">
        <f>SUM(H56:H61)</f>
        <v>287000</v>
      </c>
    </row>
    <row r="56" spans="1:8" s="52" customFormat="1" ht="24" customHeight="1" hidden="1">
      <c r="A56" s="85"/>
      <c r="B56" s="82"/>
      <c r="C56" s="207"/>
      <c r="D56" s="87" t="s">
        <v>363</v>
      </c>
      <c r="E56" s="88">
        <v>180000</v>
      </c>
      <c r="F56" s="88"/>
      <c r="G56" s="88">
        <v>180000</v>
      </c>
      <c r="H56" s="88">
        <f>E56+F56-G56</f>
        <v>0</v>
      </c>
    </row>
    <row r="57" spans="1:8" s="52" customFormat="1" ht="22.5">
      <c r="A57" s="85"/>
      <c r="B57" s="82"/>
      <c r="C57" s="207"/>
      <c r="D57" s="87" t="s">
        <v>471</v>
      </c>
      <c r="E57" s="88">
        <v>0</v>
      </c>
      <c r="F57" s="88">
        <f>180000+3000</f>
        <v>183000</v>
      </c>
      <c r="G57" s="88"/>
      <c r="H57" s="88">
        <f>E57+F57-G57</f>
        <v>183000</v>
      </c>
    </row>
    <row r="58" spans="1:8" s="52" customFormat="1" ht="33" customHeight="1">
      <c r="A58" s="85"/>
      <c r="B58" s="82"/>
      <c r="C58" s="207"/>
      <c r="D58" s="87" t="s">
        <v>367</v>
      </c>
      <c r="E58" s="88">
        <v>80000</v>
      </c>
      <c r="F58" s="88"/>
      <c r="G58" s="88"/>
      <c r="H58" s="88">
        <f>E58+F58-G58</f>
        <v>80000</v>
      </c>
    </row>
    <row r="59" spans="1:8" s="43" customFormat="1" ht="24.75" customHeight="1">
      <c r="A59" s="125"/>
      <c r="B59" s="89"/>
      <c r="C59" s="127"/>
      <c r="D59" s="87" t="s">
        <v>478</v>
      </c>
      <c r="E59" s="155">
        <v>4000</v>
      </c>
      <c r="F59" s="155">
        <v>14000</v>
      </c>
      <c r="G59" s="155"/>
      <c r="H59" s="155">
        <f>SUM(E59+F59-G59)</f>
        <v>18000</v>
      </c>
    </row>
    <row r="60" spans="1:8" s="43" customFormat="1" ht="19.5" customHeight="1">
      <c r="A60" s="85"/>
      <c r="B60" s="82"/>
      <c r="C60" s="86"/>
      <c r="D60" s="87" t="s">
        <v>291</v>
      </c>
      <c r="E60" s="155">
        <v>3000</v>
      </c>
      <c r="F60" s="148"/>
      <c r="G60" s="148"/>
      <c r="H60" s="155">
        <f>SUM(E60+F60-G60)</f>
        <v>3000</v>
      </c>
    </row>
    <row r="61" spans="1:8" s="43" customFormat="1" ht="19.5" customHeight="1">
      <c r="A61" s="85"/>
      <c r="B61" s="82"/>
      <c r="C61" s="86"/>
      <c r="D61" s="87" t="s">
        <v>292</v>
      </c>
      <c r="E61" s="155">
        <v>3000</v>
      </c>
      <c r="F61" s="148"/>
      <c r="G61" s="148"/>
      <c r="H61" s="155">
        <f>SUM(E61+F61-G61)</f>
        <v>3000</v>
      </c>
    </row>
    <row r="62" spans="1:8" s="9" customFormat="1" ht="23.25" customHeight="1">
      <c r="A62" s="14"/>
      <c r="B62" s="14"/>
      <c r="C62" s="14"/>
      <c r="D62" s="228" t="s">
        <v>81</v>
      </c>
      <c r="E62" s="99">
        <f>E8+E21+E27+E31+E35+E39+E46</f>
        <v>9873245</v>
      </c>
      <c r="F62" s="99">
        <f>F8+F21+F27+F31+F35+F39+F46</f>
        <v>270109</v>
      </c>
      <c r="G62" s="99">
        <f>G8+G21+G27+G31+G35+G39+G46</f>
        <v>238109</v>
      </c>
      <c r="H62" s="99">
        <f>H8+H21+H27+H31+H35+H39+H46</f>
        <v>9905245</v>
      </c>
    </row>
    <row r="64" ht="12.75">
      <c r="G64" s="91"/>
    </row>
    <row r="65" ht="12.75">
      <c r="E65" s="91"/>
    </row>
    <row r="66" spans="6:7" ht="12.75">
      <c r="F66" s="91"/>
      <c r="G66" s="91">
        <f>SUM(F62-G62)</f>
        <v>32000</v>
      </c>
    </row>
    <row r="67" ht="12.75">
      <c r="F67" s="91"/>
    </row>
    <row r="68" ht="12.75">
      <c r="F68" s="91"/>
    </row>
    <row r="69" ht="12.75">
      <c r="F69" s="91"/>
    </row>
    <row r="70" ht="12.75">
      <c r="F70" s="176"/>
    </row>
    <row r="71" ht="12.75">
      <c r="F71" s="91"/>
    </row>
    <row r="72" ht="12.75">
      <c r="F72" s="91"/>
    </row>
    <row r="73" ht="12.75">
      <c r="F73" s="176"/>
    </row>
    <row r="74" ht="12.75">
      <c r="E74" t="s">
        <v>340</v>
      </c>
    </row>
    <row r="75" spans="5:8" ht="12.75">
      <c r="E75" t="s">
        <v>341</v>
      </c>
      <c r="H75" t="s">
        <v>341</v>
      </c>
    </row>
  </sheetData>
  <mergeCells count="1">
    <mergeCell ref="A5:D5"/>
  </mergeCells>
  <printOptions horizontalCentered="1"/>
  <pageMargins left="0.57" right="0.43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&amp;C&amp;8Wydatki majątkowe - str.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26">
      <selection activeCell="A1" sqref="A1:E32"/>
    </sheetView>
  </sheetViews>
  <sheetFormatPr defaultColWidth="9.00390625" defaultRowHeight="12.75"/>
  <cols>
    <col min="1" max="1" width="7.25390625" style="9" customWidth="1"/>
    <col min="2" max="2" width="8.00390625" style="9" customWidth="1"/>
    <col min="3" max="3" width="6.375" style="9" customWidth="1"/>
    <col min="4" max="4" width="29.125" style="9" customWidth="1"/>
    <col min="5" max="5" width="22.25390625" style="9" customWidth="1"/>
    <col min="6" max="6" width="11.00390625" style="9" hidden="1" customWidth="1"/>
    <col min="7" max="7" width="11.625" style="9" hidden="1" customWidth="1"/>
    <col min="8" max="8" width="10.75390625" style="0" hidden="1" customWidth="1"/>
  </cols>
  <sheetData>
    <row r="1" spans="5:7" ht="12.75">
      <c r="E1" s="107" t="s">
        <v>401</v>
      </c>
      <c r="F1" s="107"/>
      <c r="G1" s="199"/>
    </row>
    <row r="2" spans="5:7" ht="12.75">
      <c r="E2" s="107" t="s">
        <v>474</v>
      </c>
      <c r="F2" s="107"/>
      <c r="G2" s="199"/>
    </row>
    <row r="3" spans="5:7" ht="12.75">
      <c r="E3" s="107" t="s">
        <v>192</v>
      </c>
      <c r="F3" s="107"/>
      <c r="G3" s="199"/>
    </row>
    <row r="4" spans="5:7" ht="12.75">
      <c r="E4" s="107" t="s">
        <v>475</v>
      </c>
      <c r="F4" s="107"/>
      <c r="G4" s="199"/>
    </row>
    <row r="5" spans="5:7" ht="12.75">
      <c r="E5" s="129"/>
      <c r="F5" s="129"/>
      <c r="G5" s="129"/>
    </row>
    <row r="6" spans="1:7" ht="12.75">
      <c r="A6" s="106"/>
      <c r="B6" s="106"/>
      <c r="C6" s="106"/>
      <c r="D6" s="106"/>
      <c r="E6" s="199"/>
      <c r="F6" s="129"/>
      <c r="G6" s="129"/>
    </row>
    <row r="7" spans="1:7" ht="30" customHeight="1">
      <c r="A7" s="414" t="s">
        <v>420</v>
      </c>
      <c r="B7" s="414"/>
      <c r="C7" s="414"/>
      <c r="D7" s="414"/>
      <c r="E7" s="414"/>
      <c r="F7"/>
      <c r="G7"/>
    </row>
    <row r="8" spans="1:7" ht="15" customHeight="1">
      <c r="A8" s="279"/>
      <c r="B8" s="279"/>
      <c r="C8" s="279"/>
      <c r="D8" s="279"/>
      <c r="E8" s="279"/>
      <c r="F8"/>
      <c r="G8"/>
    </row>
    <row r="9" spans="1:7" ht="27" customHeight="1">
      <c r="A9" s="413" t="s">
        <v>277</v>
      </c>
      <c r="B9" s="413"/>
      <c r="C9" s="413"/>
      <c r="D9" s="413"/>
      <c r="E9" s="413"/>
      <c r="F9"/>
      <c r="G9"/>
    </row>
    <row r="10" spans="1:8" ht="24.75" customHeight="1">
      <c r="A10" s="21" t="s">
        <v>0</v>
      </c>
      <c r="B10" s="21" t="s">
        <v>1</v>
      </c>
      <c r="C10" s="21" t="s">
        <v>2</v>
      </c>
      <c r="D10" s="21" t="s">
        <v>3</v>
      </c>
      <c r="E10" s="28" t="s">
        <v>165</v>
      </c>
      <c r="F10" s="28" t="s">
        <v>304</v>
      </c>
      <c r="G10" s="28" t="s">
        <v>305</v>
      </c>
      <c r="H10" s="214" t="s">
        <v>314</v>
      </c>
    </row>
    <row r="11" spans="1:8" s="8" customFormat="1" ht="27.75" customHeight="1">
      <c r="A11" s="60" t="s">
        <v>146</v>
      </c>
      <c r="B11" s="7"/>
      <c r="C11" s="6"/>
      <c r="D11" s="36" t="s">
        <v>73</v>
      </c>
      <c r="E11" s="29">
        <f>SUM(E12)</f>
        <v>112390</v>
      </c>
      <c r="F11" s="29">
        <f>SUM(F12)</f>
        <v>0</v>
      </c>
      <c r="G11" s="29">
        <f>SUM(G12)</f>
        <v>0</v>
      </c>
      <c r="H11" s="59">
        <f>SUM(E11+F11-G11)</f>
        <v>112390</v>
      </c>
    </row>
    <row r="12" spans="1:8" s="8" customFormat="1" ht="30" customHeight="1">
      <c r="A12" s="3"/>
      <c r="B12" s="18">
        <v>90011</v>
      </c>
      <c r="C12" s="4"/>
      <c r="D12" s="17" t="s">
        <v>181</v>
      </c>
      <c r="E12" s="30">
        <f>SUM(E13:E14)</f>
        <v>112390</v>
      </c>
      <c r="F12" s="30">
        <f>SUM(F13:F14)</f>
        <v>0</v>
      </c>
      <c r="G12" s="30">
        <f>SUM(G13:G14)</f>
        <v>0</v>
      </c>
      <c r="H12" s="13">
        <f>SUM(E12+F12-G12)</f>
        <v>112390</v>
      </c>
    </row>
    <row r="13" spans="1:8" ht="21.75" customHeight="1">
      <c r="A13" s="44"/>
      <c r="B13" s="45"/>
      <c r="C13" s="42"/>
      <c r="D13" s="87" t="s">
        <v>182</v>
      </c>
      <c r="E13" s="88">
        <v>22390</v>
      </c>
      <c r="F13" s="88"/>
      <c r="G13" s="88"/>
      <c r="H13" s="216">
        <f>SUM(E13+F13-G13)</f>
        <v>22390</v>
      </c>
    </row>
    <row r="14" spans="1:8" s="9" customFormat="1" ht="21.75" customHeight="1">
      <c r="A14" s="3"/>
      <c r="B14" s="18"/>
      <c r="C14" s="15" t="s">
        <v>267</v>
      </c>
      <c r="D14" s="17" t="s">
        <v>183</v>
      </c>
      <c r="E14" s="30">
        <v>90000</v>
      </c>
      <c r="F14" s="30"/>
      <c r="G14" s="30"/>
      <c r="H14" s="13">
        <f>SUM(E14+F14-G14)</f>
        <v>90000</v>
      </c>
    </row>
    <row r="15" spans="1:8" ht="22.5" customHeight="1">
      <c r="A15" s="46"/>
      <c r="B15" s="33"/>
      <c r="C15" s="33"/>
      <c r="D15" s="21" t="s">
        <v>81</v>
      </c>
      <c r="E15" s="29">
        <f>SUM(E11)</f>
        <v>112390</v>
      </c>
      <c r="F15" s="29">
        <f>SUM(F11)</f>
        <v>0</v>
      </c>
      <c r="G15" s="29">
        <f>SUM(G11)</f>
        <v>0</v>
      </c>
      <c r="H15" s="59">
        <f>SUM(E15+F15-G15)</f>
        <v>112390</v>
      </c>
    </row>
    <row r="16" ht="12.75" customHeight="1"/>
    <row r="17" spans="1:7" ht="27.75" customHeight="1">
      <c r="A17" s="412" t="s">
        <v>278</v>
      </c>
      <c r="B17" s="412"/>
      <c r="C17" s="412"/>
      <c r="D17" s="412"/>
      <c r="E17" s="412"/>
      <c r="F17"/>
      <c r="G17"/>
    </row>
    <row r="18" spans="1:8" ht="24.75" customHeight="1">
      <c r="A18" s="21" t="s">
        <v>0</v>
      </c>
      <c r="B18" s="21" t="s">
        <v>1</v>
      </c>
      <c r="C18" s="21" t="s">
        <v>2</v>
      </c>
      <c r="D18" s="21" t="s">
        <v>3</v>
      </c>
      <c r="E18" s="28" t="s">
        <v>165</v>
      </c>
      <c r="F18" s="28" t="s">
        <v>304</v>
      </c>
      <c r="G18" s="28" t="s">
        <v>305</v>
      </c>
      <c r="H18" s="214" t="s">
        <v>314</v>
      </c>
    </row>
    <row r="19" spans="1:8" s="8" customFormat="1" ht="29.25" customHeight="1">
      <c r="A19" s="60" t="s">
        <v>146</v>
      </c>
      <c r="B19" s="7"/>
      <c r="C19" s="6"/>
      <c r="D19" s="36" t="s">
        <v>73</v>
      </c>
      <c r="E19" s="29">
        <f>SUM(E20)</f>
        <v>112390</v>
      </c>
      <c r="F19" s="29">
        <f>SUM(F20)</f>
        <v>0</v>
      </c>
      <c r="G19" s="29">
        <f>SUM(G20)</f>
        <v>0</v>
      </c>
      <c r="H19" s="59">
        <f>SUM(E19+F19-G19)</f>
        <v>112390</v>
      </c>
    </row>
    <row r="20" spans="1:8" s="8" customFormat="1" ht="29.25" customHeight="1">
      <c r="A20" s="3"/>
      <c r="B20" s="18">
        <v>90011</v>
      </c>
      <c r="C20" s="4"/>
      <c r="D20" s="17" t="s">
        <v>181</v>
      </c>
      <c r="E20" s="30">
        <f>SUM(E21,E25)</f>
        <v>112390</v>
      </c>
      <c r="F20" s="30">
        <f>SUM(F21,F25,F24)</f>
        <v>0</v>
      </c>
      <c r="G20" s="30">
        <f>SUM(G21,G25,G24)</f>
        <v>0</v>
      </c>
      <c r="H20" s="30">
        <f>SUM(H21,H25,H24)</f>
        <v>114390</v>
      </c>
    </row>
    <row r="21" spans="1:8" s="9" customFormat="1" ht="21.75" customHeight="1">
      <c r="A21" s="3"/>
      <c r="B21" s="18"/>
      <c r="C21" s="4">
        <v>4210</v>
      </c>
      <c r="D21" s="17" t="s">
        <v>86</v>
      </c>
      <c r="E21" s="30">
        <f>SUM(E22:E24)</f>
        <v>8500</v>
      </c>
      <c r="F21" s="30">
        <f>SUM(F22:F23)</f>
        <v>0</v>
      </c>
      <c r="G21" s="30">
        <f>SUM(G22:G23)</f>
        <v>0</v>
      </c>
      <c r="H21" s="215">
        <f aca="true" t="shared" si="0" ref="H21:H32">SUM(E21+F21-G21)</f>
        <v>8500</v>
      </c>
    </row>
    <row r="22" spans="1:8" ht="21.75" customHeight="1">
      <c r="A22" s="44"/>
      <c r="B22" s="45"/>
      <c r="C22" s="77"/>
      <c r="D22" s="87" t="s">
        <v>184</v>
      </c>
      <c r="E22" s="88">
        <v>2500</v>
      </c>
      <c r="F22" s="88"/>
      <c r="G22" s="88"/>
      <c r="H22" s="216">
        <f t="shared" si="0"/>
        <v>2500</v>
      </c>
    </row>
    <row r="23" spans="1:8" ht="21.75" customHeight="1">
      <c r="A23" s="44"/>
      <c r="B23" s="45"/>
      <c r="C23" s="77"/>
      <c r="D23" s="87" t="s">
        <v>186</v>
      </c>
      <c r="E23" s="88">
        <v>4000</v>
      </c>
      <c r="F23" s="88"/>
      <c r="G23" s="88"/>
      <c r="H23" s="216">
        <f t="shared" si="0"/>
        <v>4000</v>
      </c>
    </row>
    <row r="24" spans="1:8" ht="21.75" customHeight="1">
      <c r="A24" s="44"/>
      <c r="B24" s="45"/>
      <c r="C24" s="77"/>
      <c r="D24" s="87" t="s">
        <v>399</v>
      </c>
      <c r="E24" s="88">
        <v>2000</v>
      </c>
      <c r="F24" s="88"/>
      <c r="G24" s="88"/>
      <c r="H24" s="216">
        <f t="shared" si="0"/>
        <v>2000</v>
      </c>
    </row>
    <row r="25" spans="1:8" s="9" customFormat="1" ht="21.75" customHeight="1">
      <c r="A25" s="3"/>
      <c r="B25" s="18"/>
      <c r="C25" s="15">
        <v>4300</v>
      </c>
      <c r="D25" s="17" t="s">
        <v>93</v>
      </c>
      <c r="E25" s="30">
        <f>SUM(E26:E30)</f>
        <v>103890</v>
      </c>
      <c r="F25" s="30">
        <f>SUM(F26:F30)</f>
        <v>0</v>
      </c>
      <c r="G25" s="30">
        <f>SUM(G26:G30)</f>
        <v>0</v>
      </c>
      <c r="H25" s="215">
        <f t="shared" si="0"/>
        <v>103890</v>
      </c>
    </row>
    <row r="26" spans="1:8" ht="21.75" customHeight="1">
      <c r="A26" s="44"/>
      <c r="B26" s="45"/>
      <c r="C26" s="77"/>
      <c r="D26" s="87" t="s">
        <v>185</v>
      </c>
      <c r="E26" s="88">
        <f>74690+2000</f>
        <v>76690</v>
      </c>
      <c r="F26" s="88"/>
      <c r="G26" s="88"/>
      <c r="H26" s="216">
        <f t="shared" si="0"/>
        <v>76690</v>
      </c>
    </row>
    <row r="27" spans="1:8" ht="21.75" customHeight="1">
      <c r="A27" s="44"/>
      <c r="B27" s="45"/>
      <c r="C27" s="77"/>
      <c r="D27" s="87" t="s">
        <v>303</v>
      </c>
      <c r="E27" s="88">
        <v>10000</v>
      </c>
      <c r="F27" s="88"/>
      <c r="G27" s="88"/>
      <c r="H27" s="216">
        <f t="shared" si="0"/>
        <v>10000</v>
      </c>
    </row>
    <row r="28" spans="1:8" ht="21.75" customHeight="1">
      <c r="A28" s="44"/>
      <c r="B28" s="45"/>
      <c r="C28" s="77"/>
      <c r="D28" s="87" t="s">
        <v>187</v>
      </c>
      <c r="E28" s="88">
        <v>5000</v>
      </c>
      <c r="F28" s="88"/>
      <c r="G28" s="88"/>
      <c r="H28" s="216">
        <f t="shared" si="0"/>
        <v>5000</v>
      </c>
    </row>
    <row r="29" spans="1:8" ht="29.25" customHeight="1">
      <c r="A29" s="44"/>
      <c r="B29" s="42"/>
      <c r="C29" s="42"/>
      <c r="D29" s="87" t="s">
        <v>295</v>
      </c>
      <c r="E29" s="88">
        <v>12000</v>
      </c>
      <c r="F29" s="88"/>
      <c r="G29" s="88"/>
      <c r="H29" s="216">
        <f t="shared" si="0"/>
        <v>12000</v>
      </c>
    </row>
    <row r="30" spans="1:8" ht="19.5" customHeight="1">
      <c r="A30" s="44"/>
      <c r="B30" s="42"/>
      <c r="C30" s="42"/>
      <c r="D30" s="87" t="s">
        <v>400</v>
      </c>
      <c r="E30" s="88">
        <v>200</v>
      </c>
      <c r="F30" s="88"/>
      <c r="G30" s="88"/>
      <c r="H30" s="216">
        <f t="shared" si="0"/>
        <v>200</v>
      </c>
    </row>
    <row r="31" spans="1:8" ht="21.75" customHeight="1">
      <c r="A31" s="46"/>
      <c r="B31" s="33"/>
      <c r="C31" s="4"/>
      <c r="D31" s="21" t="s">
        <v>81</v>
      </c>
      <c r="E31" s="29">
        <f>SUM(E20)</f>
        <v>112390</v>
      </c>
      <c r="F31" s="29">
        <f>SUM(F20)</f>
        <v>0</v>
      </c>
      <c r="G31" s="29">
        <f>SUM(G20)</f>
        <v>0</v>
      </c>
      <c r="H31" s="59">
        <f t="shared" si="0"/>
        <v>112390</v>
      </c>
    </row>
    <row r="32" spans="1:8" ht="21.75" customHeight="1">
      <c r="A32" s="47"/>
      <c r="B32" s="48"/>
      <c r="C32" s="42"/>
      <c r="D32" s="19" t="s">
        <v>265</v>
      </c>
      <c r="E32" s="29">
        <f>SUM(E15-E31)</f>
        <v>0</v>
      </c>
      <c r="F32" s="29"/>
      <c r="G32" s="29"/>
      <c r="H32" s="59">
        <f t="shared" si="0"/>
        <v>0</v>
      </c>
    </row>
  </sheetData>
  <mergeCells count="3">
    <mergeCell ref="A17:E17"/>
    <mergeCell ref="A9:E9"/>
    <mergeCell ref="A7:E7"/>
  </mergeCells>
  <printOptions horizontalCentered="1"/>
  <pageMargins left="0.74" right="0.64" top="0.7874015748031497" bottom="0.7874015748031497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3"/>
  <sheetViews>
    <sheetView workbookViewId="0" topLeftCell="A254">
      <selection activeCell="E1" sqref="A1:E260"/>
    </sheetView>
  </sheetViews>
  <sheetFormatPr defaultColWidth="9.00390625" defaultRowHeight="12.75"/>
  <cols>
    <col min="1" max="1" width="6.125" style="92" customWidth="1"/>
    <col min="2" max="2" width="8.875" style="92" customWidth="1"/>
    <col min="3" max="3" width="5.00390625" style="92" customWidth="1"/>
    <col min="4" max="4" width="32.00390625" style="93" customWidth="1"/>
    <col min="5" max="5" width="20.125" style="95" customWidth="1"/>
    <col min="6" max="16384" width="7.875" style="93" customWidth="1"/>
  </cols>
  <sheetData>
    <row r="1" ht="12.75">
      <c r="E1" s="107" t="s">
        <v>360</v>
      </c>
    </row>
    <row r="2" ht="12.75">
      <c r="E2" s="107" t="s">
        <v>474</v>
      </c>
    </row>
    <row r="3" ht="12.75">
      <c r="E3" s="107" t="s">
        <v>192</v>
      </c>
    </row>
    <row r="4" ht="12.75">
      <c r="E4" s="107" t="s">
        <v>475</v>
      </c>
    </row>
    <row r="5" spans="1:5" s="159" customFormat="1" ht="15">
      <c r="A5" s="284" t="s">
        <v>409</v>
      </c>
      <c r="B5" s="158"/>
      <c r="C5" s="158"/>
      <c r="E5" s="160"/>
    </row>
    <row r="6" spans="1:5" s="159" customFormat="1" ht="15.75" customHeight="1">
      <c r="A6" s="161"/>
      <c r="B6" s="158"/>
      <c r="C6" s="158"/>
      <c r="E6" s="160"/>
    </row>
    <row r="7" spans="1:5" s="96" customFormat="1" ht="23.25" customHeight="1">
      <c r="A7" s="2" t="s">
        <v>0</v>
      </c>
      <c r="B7" s="2" t="s">
        <v>1</v>
      </c>
      <c r="C7" s="2" t="s">
        <v>2</v>
      </c>
      <c r="D7" s="2" t="s">
        <v>3</v>
      </c>
      <c r="E7" s="37" t="s">
        <v>165</v>
      </c>
    </row>
    <row r="8" spans="1:5" s="280" customFormat="1" ht="21.75" customHeight="1">
      <c r="A8" s="60" t="s">
        <v>88</v>
      </c>
      <c r="B8" s="6"/>
      <c r="C8" s="6"/>
      <c r="D8" s="36" t="s">
        <v>89</v>
      </c>
      <c r="E8" s="29">
        <f>E9</f>
        <v>134510</v>
      </c>
    </row>
    <row r="9" spans="1:5" s="94" customFormat="1" ht="21.75" customHeight="1">
      <c r="A9" s="169"/>
      <c r="B9" s="169" t="s">
        <v>90</v>
      </c>
      <c r="C9" s="101"/>
      <c r="D9" s="80" t="s">
        <v>91</v>
      </c>
      <c r="E9" s="148">
        <f>E10+E20+E30</f>
        <v>134510</v>
      </c>
    </row>
    <row r="10" spans="1:5" s="94" customFormat="1" ht="21.75" customHeight="1">
      <c r="A10" s="169"/>
      <c r="B10" s="101"/>
      <c r="C10" s="169">
        <v>4210</v>
      </c>
      <c r="D10" s="80" t="s">
        <v>86</v>
      </c>
      <c r="E10" s="148">
        <f>E11+E12+E13+E14+E15+E16+E17+E18+E19</f>
        <v>22030</v>
      </c>
    </row>
    <row r="11" spans="1:5" s="172" customFormat="1" ht="15" customHeight="1">
      <c r="A11" s="170"/>
      <c r="B11" s="170"/>
      <c r="C11" s="171"/>
      <c r="D11" s="165" t="s">
        <v>222</v>
      </c>
      <c r="E11" s="155">
        <v>1970</v>
      </c>
    </row>
    <row r="12" spans="1:5" s="172" customFormat="1" ht="15" customHeight="1">
      <c r="A12" s="170"/>
      <c r="B12" s="170"/>
      <c r="C12" s="171"/>
      <c r="D12" s="165" t="s">
        <v>212</v>
      </c>
      <c r="E12" s="155">
        <v>3000</v>
      </c>
    </row>
    <row r="13" spans="1:5" s="172" customFormat="1" ht="15" customHeight="1">
      <c r="A13" s="170"/>
      <c r="B13" s="170"/>
      <c r="C13" s="171"/>
      <c r="D13" s="165" t="s">
        <v>205</v>
      </c>
      <c r="E13" s="155">
        <v>5000</v>
      </c>
    </row>
    <row r="14" spans="1:5" s="172" customFormat="1" ht="15" customHeight="1">
      <c r="A14" s="170"/>
      <c r="B14" s="170"/>
      <c r="C14" s="171"/>
      <c r="D14" s="165" t="s">
        <v>206</v>
      </c>
      <c r="E14" s="155">
        <v>800</v>
      </c>
    </row>
    <row r="15" spans="1:5" s="172" customFormat="1" ht="15" customHeight="1">
      <c r="A15" s="170"/>
      <c r="B15" s="170"/>
      <c r="C15" s="171"/>
      <c r="D15" s="165" t="s">
        <v>207</v>
      </c>
      <c r="E15" s="155">
        <v>3220</v>
      </c>
    </row>
    <row r="16" spans="1:5" s="172" customFormat="1" ht="15" customHeight="1">
      <c r="A16" s="170"/>
      <c r="B16" s="170"/>
      <c r="C16" s="171"/>
      <c r="D16" s="165" t="s">
        <v>208</v>
      </c>
      <c r="E16" s="155">
        <v>1500</v>
      </c>
    </row>
    <row r="17" spans="1:5" s="172" customFormat="1" ht="15" customHeight="1">
      <c r="A17" s="170"/>
      <c r="B17" s="170"/>
      <c r="C17" s="171"/>
      <c r="D17" s="165" t="s">
        <v>209</v>
      </c>
      <c r="E17" s="155">
        <v>1000</v>
      </c>
    </row>
    <row r="18" spans="1:5" s="172" customFormat="1" ht="15" customHeight="1">
      <c r="A18" s="170"/>
      <c r="B18" s="170"/>
      <c r="C18" s="171"/>
      <c r="D18" s="165" t="s">
        <v>210</v>
      </c>
      <c r="E18" s="155">
        <v>2080</v>
      </c>
    </row>
    <row r="19" spans="1:5" s="172" customFormat="1" ht="15" customHeight="1">
      <c r="A19" s="170"/>
      <c r="B19" s="170"/>
      <c r="C19" s="171"/>
      <c r="D19" s="165" t="s">
        <v>211</v>
      </c>
      <c r="E19" s="155">
        <v>3460</v>
      </c>
    </row>
    <row r="20" spans="1:5" s="172" customFormat="1" ht="21.75" customHeight="1">
      <c r="A20" s="171"/>
      <c r="B20" s="175"/>
      <c r="C20" s="171">
        <v>4300</v>
      </c>
      <c r="D20" s="274" t="s">
        <v>93</v>
      </c>
      <c r="E20" s="155">
        <f>E21+E22+E23+E24+E25+E26+E27+E28+E29</f>
        <v>43480</v>
      </c>
    </row>
    <row r="21" spans="1:5" s="94" customFormat="1" ht="15" customHeight="1">
      <c r="A21" s="170"/>
      <c r="B21" s="170"/>
      <c r="C21" s="170"/>
      <c r="D21" s="165" t="s">
        <v>212</v>
      </c>
      <c r="E21" s="155">
        <v>7000</v>
      </c>
    </row>
    <row r="22" spans="1:5" s="94" customFormat="1" ht="15" customHeight="1">
      <c r="A22" s="170"/>
      <c r="B22" s="170"/>
      <c r="C22" s="170"/>
      <c r="D22" s="165" t="s">
        <v>213</v>
      </c>
      <c r="E22" s="155">
        <v>2000</v>
      </c>
    </row>
    <row r="23" spans="1:5" s="94" customFormat="1" ht="15" customHeight="1">
      <c r="A23" s="170"/>
      <c r="B23" s="170"/>
      <c r="C23" s="170"/>
      <c r="D23" s="165" t="s">
        <v>214</v>
      </c>
      <c r="E23" s="155">
        <v>8000</v>
      </c>
    </row>
    <row r="24" spans="1:5" s="94" customFormat="1" ht="15" customHeight="1">
      <c r="A24" s="170"/>
      <c r="B24" s="170"/>
      <c r="C24" s="170"/>
      <c r="D24" s="165" t="s">
        <v>215</v>
      </c>
      <c r="E24" s="155">
        <v>2000</v>
      </c>
    </row>
    <row r="25" spans="1:5" s="94" customFormat="1" ht="15" customHeight="1">
      <c r="A25" s="170"/>
      <c r="B25" s="170"/>
      <c r="C25" s="170"/>
      <c r="D25" s="165" t="s">
        <v>204</v>
      </c>
      <c r="E25" s="155">
        <v>5700</v>
      </c>
    </row>
    <row r="26" spans="1:5" s="94" customFormat="1" ht="15" customHeight="1">
      <c r="A26" s="170"/>
      <c r="B26" s="170"/>
      <c r="C26" s="170"/>
      <c r="D26" s="165" t="s">
        <v>217</v>
      </c>
      <c r="E26" s="155">
        <v>5000</v>
      </c>
    </row>
    <row r="27" spans="1:5" s="94" customFormat="1" ht="15" customHeight="1">
      <c r="A27" s="170"/>
      <c r="B27" s="173"/>
      <c r="C27" s="170"/>
      <c r="D27" s="165" t="s">
        <v>205</v>
      </c>
      <c r="E27" s="155">
        <v>2000</v>
      </c>
    </row>
    <row r="28" spans="1:5" s="94" customFormat="1" ht="15" customHeight="1">
      <c r="A28" s="170"/>
      <c r="B28" s="173"/>
      <c r="C28" s="170"/>
      <c r="D28" s="165" t="s">
        <v>208</v>
      </c>
      <c r="E28" s="155">
        <v>6000</v>
      </c>
    </row>
    <row r="29" spans="1:5" s="94" customFormat="1" ht="15" customHeight="1">
      <c r="A29" s="170"/>
      <c r="B29" s="173"/>
      <c r="C29" s="170"/>
      <c r="D29" s="165" t="s">
        <v>206</v>
      </c>
      <c r="E29" s="155">
        <v>5780</v>
      </c>
    </row>
    <row r="30" spans="1:5" s="94" customFormat="1" ht="21.75" customHeight="1">
      <c r="A30" s="170"/>
      <c r="B30" s="173"/>
      <c r="C30" s="102">
        <v>6050</v>
      </c>
      <c r="D30" s="80" t="s">
        <v>87</v>
      </c>
      <c r="E30" s="155">
        <f>E31+E32+E33</f>
        <v>69000</v>
      </c>
    </row>
    <row r="31" spans="1:5" s="94" customFormat="1" ht="15" customHeight="1">
      <c r="A31" s="170"/>
      <c r="B31" s="173"/>
      <c r="C31" s="102"/>
      <c r="D31" s="165" t="s">
        <v>212</v>
      </c>
      <c r="E31" s="155">
        <v>31000</v>
      </c>
    </row>
    <row r="32" spans="1:5" s="94" customFormat="1" ht="15" customHeight="1">
      <c r="A32" s="170"/>
      <c r="B32" s="173"/>
      <c r="C32" s="102"/>
      <c r="D32" s="165" t="s">
        <v>220</v>
      </c>
      <c r="E32" s="155">
        <v>19000</v>
      </c>
    </row>
    <row r="33" spans="1:5" s="94" customFormat="1" ht="15" customHeight="1">
      <c r="A33" s="170"/>
      <c r="B33" s="173"/>
      <c r="C33" s="170"/>
      <c r="D33" s="165" t="s">
        <v>208</v>
      </c>
      <c r="E33" s="155">
        <v>19000</v>
      </c>
    </row>
    <row r="34" spans="1:5" s="75" customFormat="1" ht="21.75" customHeight="1">
      <c r="A34" s="60">
        <v>700</v>
      </c>
      <c r="B34" s="6"/>
      <c r="C34" s="6"/>
      <c r="D34" s="36" t="s">
        <v>12</v>
      </c>
      <c r="E34" s="29">
        <f>E35</f>
        <v>300</v>
      </c>
    </row>
    <row r="35" spans="1:5" s="94" customFormat="1" ht="21.75" customHeight="1">
      <c r="A35" s="101"/>
      <c r="B35" s="169">
        <v>70095</v>
      </c>
      <c r="C35" s="101"/>
      <c r="D35" s="80" t="s">
        <v>6</v>
      </c>
      <c r="E35" s="148">
        <f>E36</f>
        <v>300</v>
      </c>
    </row>
    <row r="36" spans="1:5" s="168" customFormat="1" ht="21.75" customHeight="1">
      <c r="A36" s="101"/>
      <c r="B36" s="169"/>
      <c r="C36" s="169">
        <v>4260</v>
      </c>
      <c r="D36" s="80" t="s">
        <v>109</v>
      </c>
      <c r="E36" s="148">
        <f>E37</f>
        <v>300</v>
      </c>
    </row>
    <row r="37" spans="1:5" s="94" customFormat="1" ht="15" customHeight="1">
      <c r="A37" s="170"/>
      <c r="B37" s="170"/>
      <c r="C37" s="170"/>
      <c r="D37" s="165" t="s">
        <v>220</v>
      </c>
      <c r="E37" s="155">
        <v>300</v>
      </c>
    </row>
    <row r="38" spans="1:5" s="75" customFormat="1" ht="21.75" customHeight="1">
      <c r="A38" s="60">
        <v>710</v>
      </c>
      <c r="B38" s="6"/>
      <c r="C38" s="6"/>
      <c r="D38" s="36" t="s">
        <v>94</v>
      </c>
      <c r="E38" s="29">
        <f>E39</f>
        <v>350</v>
      </c>
    </row>
    <row r="39" spans="1:5" s="94" customFormat="1" ht="21.75" customHeight="1">
      <c r="A39" s="101"/>
      <c r="B39" s="169">
        <v>71035</v>
      </c>
      <c r="C39" s="101"/>
      <c r="D39" s="80" t="s">
        <v>17</v>
      </c>
      <c r="E39" s="148">
        <f>E40</f>
        <v>350</v>
      </c>
    </row>
    <row r="40" spans="1:5" s="94" customFormat="1" ht="21.75" customHeight="1">
      <c r="A40" s="101"/>
      <c r="B40" s="169"/>
      <c r="C40" s="169">
        <v>4260</v>
      </c>
      <c r="D40" s="80" t="s">
        <v>109</v>
      </c>
      <c r="E40" s="155">
        <f>E41+E42</f>
        <v>350</v>
      </c>
    </row>
    <row r="41" spans="1:5" s="172" customFormat="1" ht="15" customHeight="1">
      <c r="A41" s="101"/>
      <c r="B41" s="169"/>
      <c r="C41" s="169"/>
      <c r="D41" s="165" t="s">
        <v>212</v>
      </c>
      <c r="E41" s="155">
        <v>150</v>
      </c>
    </row>
    <row r="42" spans="1:5" s="172" customFormat="1" ht="15" customHeight="1">
      <c r="A42" s="170"/>
      <c r="B42" s="170"/>
      <c r="C42" s="170"/>
      <c r="D42" s="165" t="s">
        <v>220</v>
      </c>
      <c r="E42" s="155">
        <v>200</v>
      </c>
    </row>
    <row r="43" spans="1:5" s="281" customFormat="1" ht="21.75" customHeight="1">
      <c r="A43" s="60" t="s">
        <v>18</v>
      </c>
      <c r="B43" s="6"/>
      <c r="C43" s="6"/>
      <c r="D43" s="36" t="s">
        <v>97</v>
      </c>
      <c r="E43" s="29">
        <v>36480</v>
      </c>
    </row>
    <row r="44" spans="1:5" s="168" customFormat="1" ht="21.75" customHeight="1">
      <c r="A44" s="101"/>
      <c r="B44" s="169" t="s">
        <v>21</v>
      </c>
      <c r="C44" s="101"/>
      <c r="D44" s="80" t="s">
        <v>22</v>
      </c>
      <c r="E44" s="148">
        <f>E45+E66</f>
        <v>10030</v>
      </c>
    </row>
    <row r="45" spans="1:5" s="94" customFormat="1" ht="21.75" customHeight="1">
      <c r="A45" s="101"/>
      <c r="B45" s="169"/>
      <c r="C45" s="169" t="s">
        <v>221</v>
      </c>
      <c r="D45" s="80" t="s">
        <v>106</v>
      </c>
      <c r="E45" s="148">
        <f>E46+E47+E48+E49+E50+E51+E52+E53+E54+E55+E56+E57+E58+E59+E60+E61+E62+E63+E64+E65</f>
        <v>1400</v>
      </c>
    </row>
    <row r="46" spans="1:5" s="94" customFormat="1" ht="15" customHeight="1">
      <c r="A46" s="170"/>
      <c r="B46" s="170"/>
      <c r="C46" s="170"/>
      <c r="D46" s="165" t="s">
        <v>212</v>
      </c>
      <c r="E46" s="155">
        <v>70</v>
      </c>
    </row>
    <row r="47" spans="1:5" s="172" customFormat="1" ht="15" customHeight="1">
      <c r="A47" s="170"/>
      <c r="B47" s="170"/>
      <c r="C47" s="170"/>
      <c r="D47" s="165" t="s">
        <v>213</v>
      </c>
      <c r="E47" s="155">
        <v>70</v>
      </c>
    </row>
    <row r="48" spans="1:5" s="172" customFormat="1" ht="15" customHeight="1">
      <c r="A48" s="170"/>
      <c r="B48" s="170"/>
      <c r="C48" s="170"/>
      <c r="D48" s="165" t="s">
        <v>222</v>
      </c>
      <c r="E48" s="155">
        <v>70</v>
      </c>
    </row>
    <row r="49" spans="1:5" s="172" customFormat="1" ht="15" customHeight="1">
      <c r="A49" s="170"/>
      <c r="B49" s="170"/>
      <c r="C49" s="170"/>
      <c r="D49" s="165" t="s">
        <v>214</v>
      </c>
      <c r="E49" s="155">
        <v>70</v>
      </c>
    </row>
    <row r="50" spans="1:5" s="172" customFormat="1" ht="15" customHeight="1">
      <c r="A50" s="170"/>
      <c r="B50" s="170"/>
      <c r="C50" s="170"/>
      <c r="D50" s="165" t="s">
        <v>215</v>
      </c>
      <c r="E50" s="155">
        <v>70</v>
      </c>
    </row>
    <row r="51" spans="1:5" s="168" customFormat="1" ht="15" customHeight="1">
      <c r="A51" s="170"/>
      <c r="B51" s="170"/>
      <c r="C51" s="170"/>
      <c r="D51" s="165" t="s">
        <v>216</v>
      </c>
      <c r="E51" s="155">
        <v>70</v>
      </c>
    </row>
    <row r="52" spans="1:5" s="94" customFormat="1" ht="15" customHeight="1">
      <c r="A52" s="170"/>
      <c r="B52" s="170"/>
      <c r="C52" s="170"/>
      <c r="D52" s="165" t="s">
        <v>203</v>
      </c>
      <c r="E52" s="155">
        <v>70</v>
      </c>
    </row>
    <row r="53" spans="1:5" s="94" customFormat="1" ht="15" customHeight="1">
      <c r="A53" s="170"/>
      <c r="B53" s="170"/>
      <c r="C53" s="170"/>
      <c r="D53" s="165" t="s">
        <v>204</v>
      </c>
      <c r="E53" s="155">
        <v>70</v>
      </c>
    </row>
    <row r="54" spans="1:5" s="172" customFormat="1" ht="15" customHeight="1">
      <c r="A54" s="170"/>
      <c r="B54" s="170"/>
      <c r="C54" s="170"/>
      <c r="D54" s="165" t="s">
        <v>217</v>
      </c>
      <c r="E54" s="155">
        <v>70</v>
      </c>
    </row>
    <row r="55" spans="1:5" s="172" customFormat="1" ht="15" customHeight="1">
      <c r="A55" s="170"/>
      <c r="B55" s="170"/>
      <c r="C55" s="170"/>
      <c r="D55" s="165" t="s">
        <v>205</v>
      </c>
      <c r="E55" s="155">
        <v>70</v>
      </c>
    </row>
    <row r="56" spans="1:5" s="172" customFormat="1" ht="15" customHeight="1">
      <c r="A56" s="170"/>
      <c r="B56" s="170"/>
      <c r="C56" s="170"/>
      <c r="D56" s="165" t="s">
        <v>206</v>
      </c>
      <c r="E56" s="155">
        <v>70</v>
      </c>
    </row>
    <row r="57" spans="1:5" s="172" customFormat="1" ht="15" customHeight="1">
      <c r="A57" s="170"/>
      <c r="B57" s="170"/>
      <c r="C57" s="170"/>
      <c r="D57" s="165" t="s">
        <v>207</v>
      </c>
      <c r="E57" s="155">
        <v>70</v>
      </c>
    </row>
    <row r="58" spans="1:5" s="172" customFormat="1" ht="15" customHeight="1">
      <c r="A58" s="170"/>
      <c r="B58" s="170"/>
      <c r="C58" s="170"/>
      <c r="D58" s="165" t="s">
        <v>208</v>
      </c>
      <c r="E58" s="155">
        <v>70</v>
      </c>
    </row>
    <row r="59" spans="1:5" s="172" customFormat="1" ht="15" customHeight="1">
      <c r="A59" s="170"/>
      <c r="B59" s="170"/>
      <c r="C59" s="170"/>
      <c r="D59" s="165" t="s">
        <v>218</v>
      </c>
      <c r="E59" s="155">
        <v>70</v>
      </c>
    </row>
    <row r="60" spans="1:5" s="172" customFormat="1" ht="15" customHeight="1">
      <c r="A60" s="170"/>
      <c r="B60" s="170"/>
      <c r="C60" s="170"/>
      <c r="D60" s="165" t="s">
        <v>220</v>
      </c>
      <c r="E60" s="155">
        <v>70</v>
      </c>
    </row>
    <row r="61" spans="1:5" s="172" customFormat="1" ht="15" customHeight="1">
      <c r="A61" s="170"/>
      <c r="B61" s="170"/>
      <c r="C61" s="170"/>
      <c r="D61" s="165" t="s">
        <v>209</v>
      </c>
      <c r="E61" s="155">
        <v>70</v>
      </c>
    </row>
    <row r="62" spans="1:5" s="172" customFormat="1" ht="15" customHeight="1">
      <c r="A62" s="170"/>
      <c r="B62" s="170"/>
      <c r="C62" s="170"/>
      <c r="D62" s="165" t="s">
        <v>219</v>
      </c>
      <c r="E62" s="155">
        <v>70</v>
      </c>
    </row>
    <row r="63" spans="1:5" s="172" customFormat="1" ht="15" customHeight="1">
      <c r="A63" s="170"/>
      <c r="B63" s="170"/>
      <c r="C63" s="170"/>
      <c r="D63" s="165" t="s">
        <v>210</v>
      </c>
      <c r="E63" s="155">
        <v>70</v>
      </c>
    </row>
    <row r="64" spans="1:5" s="172" customFormat="1" ht="15" customHeight="1">
      <c r="A64" s="170"/>
      <c r="B64" s="170"/>
      <c r="C64" s="170"/>
      <c r="D64" s="165" t="s">
        <v>211</v>
      </c>
      <c r="E64" s="155">
        <v>70</v>
      </c>
    </row>
    <row r="65" spans="1:5" s="172" customFormat="1" ht="15" customHeight="1">
      <c r="A65" s="170"/>
      <c r="B65" s="170"/>
      <c r="C65" s="170"/>
      <c r="D65" s="165" t="s">
        <v>223</v>
      </c>
      <c r="E65" s="155">
        <v>70</v>
      </c>
    </row>
    <row r="66" spans="1:5" s="172" customFormat="1" ht="21.75" customHeight="1">
      <c r="A66" s="101"/>
      <c r="B66" s="169"/>
      <c r="C66" s="169" t="s">
        <v>224</v>
      </c>
      <c r="D66" s="80" t="s">
        <v>93</v>
      </c>
      <c r="E66" s="148">
        <f>E67+E68+E69+E70+E71+E72+E73+E74+E75+E76+E77+E78+E79+E80+E81+E82+E83</f>
        <v>8630</v>
      </c>
    </row>
    <row r="67" spans="1:5" s="172" customFormat="1" ht="15" customHeight="1">
      <c r="A67" s="170"/>
      <c r="B67" s="170"/>
      <c r="C67" s="170"/>
      <c r="D67" s="165" t="s">
        <v>212</v>
      </c>
      <c r="E67" s="155">
        <v>520</v>
      </c>
    </row>
    <row r="68" spans="1:5" s="172" customFormat="1" ht="15" customHeight="1">
      <c r="A68" s="170"/>
      <c r="B68" s="170"/>
      <c r="C68" s="170"/>
      <c r="D68" s="165" t="s">
        <v>213</v>
      </c>
      <c r="E68" s="155">
        <v>520</v>
      </c>
    </row>
    <row r="69" spans="1:5" s="172" customFormat="1" ht="15" customHeight="1">
      <c r="A69" s="170"/>
      <c r="B69" s="170"/>
      <c r="C69" s="170"/>
      <c r="D69" s="165" t="s">
        <v>222</v>
      </c>
      <c r="E69" s="155">
        <v>350</v>
      </c>
    </row>
    <row r="70" spans="1:5" s="172" customFormat="1" ht="15" customHeight="1">
      <c r="A70" s="170"/>
      <c r="B70" s="170"/>
      <c r="C70" s="170"/>
      <c r="D70" s="165" t="s">
        <v>214</v>
      </c>
      <c r="E70" s="155">
        <v>520</v>
      </c>
    </row>
    <row r="71" spans="1:5" s="172" customFormat="1" ht="15" customHeight="1">
      <c r="A71" s="170"/>
      <c r="B71" s="170"/>
      <c r="C71" s="170"/>
      <c r="D71" s="165" t="s">
        <v>215</v>
      </c>
      <c r="E71" s="155">
        <v>520</v>
      </c>
    </row>
    <row r="72" spans="1:5" s="172" customFormat="1" ht="15" customHeight="1">
      <c r="A72" s="170"/>
      <c r="B72" s="170"/>
      <c r="C72" s="170"/>
      <c r="D72" s="165" t="s">
        <v>203</v>
      </c>
      <c r="E72" s="155">
        <v>520</v>
      </c>
    </row>
    <row r="73" spans="1:5" s="172" customFormat="1" ht="15" customHeight="1">
      <c r="A73" s="170"/>
      <c r="B73" s="170"/>
      <c r="C73" s="170"/>
      <c r="D73" s="165" t="s">
        <v>217</v>
      </c>
      <c r="E73" s="155">
        <v>520</v>
      </c>
    </row>
    <row r="74" spans="1:5" s="94" customFormat="1" ht="15" customHeight="1">
      <c r="A74" s="170"/>
      <c r="B74" s="170"/>
      <c r="C74" s="170"/>
      <c r="D74" s="165" t="s">
        <v>206</v>
      </c>
      <c r="E74" s="155">
        <v>480</v>
      </c>
    </row>
    <row r="75" spans="1:5" s="172" customFormat="1" ht="15" customHeight="1">
      <c r="A75" s="170"/>
      <c r="B75" s="170"/>
      <c r="C75" s="170"/>
      <c r="D75" s="165" t="s">
        <v>207</v>
      </c>
      <c r="E75" s="155">
        <v>520</v>
      </c>
    </row>
    <row r="76" spans="1:5" s="172" customFormat="1" ht="15" customHeight="1">
      <c r="A76" s="170"/>
      <c r="B76" s="170"/>
      <c r="C76" s="170"/>
      <c r="D76" s="165" t="s">
        <v>208</v>
      </c>
      <c r="E76" s="155">
        <v>520</v>
      </c>
    </row>
    <row r="77" spans="1:5" s="172" customFormat="1" ht="15" customHeight="1">
      <c r="A77" s="170"/>
      <c r="B77" s="170"/>
      <c r="C77" s="170"/>
      <c r="D77" s="165" t="s">
        <v>218</v>
      </c>
      <c r="E77" s="155">
        <v>520</v>
      </c>
    </row>
    <row r="78" spans="1:5" s="172" customFormat="1" ht="15" customHeight="1">
      <c r="A78" s="170"/>
      <c r="B78" s="170"/>
      <c r="C78" s="170"/>
      <c r="D78" s="165" t="s">
        <v>220</v>
      </c>
      <c r="E78" s="155">
        <v>520</v>
      </c>
    </row>
    <row r="79" spans="1:5" s="172" customFormat="1" ht="15" customHeight="1">
      <c r="A79" s="170"/>
      <c r="B79" s="170"/>
      <c r="C79" s="170"/>
      <c r="D79" s="165" t="s">
        <v>209</v>
      </c>
      <c r="E79" s="155">
        <v>520</v>
      </c>
    </row>
    <row r="80" spans="1:5" s="172" customFormat="1" ht="15" customHeight="1">
      <c r="A80" s="170"/>
      <c r="B80" s="170"/>
      <c r="C80" s="170"/>
      <c r="D80" s="165" t="s">
        <v>219</v>
      </c>
      <c r="E80" s="155">
        <v>520</v>
      </c>
    </row>
    <row r="81" spans="1:5" s="172" customFormat="1" ht="15" customHeight="1">
      <c r="A81" s="170"/>
      <c r="B81" s="170"/>
      <c r="C81" s="170"/>
      <c r="D81" s="165" t="s">
        <v>210</v>
      </c>
      <c r="E81" s="155">
        <v>520</v>
      </c>
    </row>
    <row r="82" spans="1:5" s="172" customFormat="1" ht="15" customHeight="1">
      <c r="A82" s="170"/>
      <c r="B82" s="170"/>
      <c r="C82" s="170"/>
      <c r="D82" s="165" t="s">
        <v>211</v>
      </c>
      <c r="E82" s="155">
        <v>520</v>
      </c>
    </row>
    <row r="83" spans="1:5" s="172" customFormat="1" ht="15" customHeight="1">
      <c r="A83" s="170"/>
      <c r="B83" s="170"/>
      <c r="C83" s="170"/>
      <c r="D83" s="165" t="s">
        <v>223</v>
      </c>
      <c r="E83" s="155">
        <v>520</v>
      </c>
    </row>
    <row r="84" spans="1:5" s="281" customFormat="1" ht="27.75" customHeight="1">
      <c r="A84" s="2"/>
      <c r="B84" s="282">
        <v>75075</v>
      </c>
      <c r="C84" s="2"/>
      <c r="D84" s="79" t="s">
        <v>403</v>
      </c>
      <c r="E84" s="74">
        <f>E85+E108+E89</f>
        <v>26450</v>
      </c>
    </row>
    <row r="85" spans="1:5" s="172" customFormat="1" ht="21.75" customHeight="1">
      <c r="A85" s="101"/>
      <c r="B85" s="169"/>
      <c r="C85" s="101">
        <v>4170</v>
      </c>
      <c r="D85" s="80" t="s">
        <v>294</v>
      </c>
      <c r="E85" s="148">
        <f>E86+E87+E88</f>
        <v>1600</v>
      </c>
    </row>
    <row r="86" spans="1:5" s="172" customFormat="1" ht="15" customHeight="1">
      <c r="A86" s="151"/>
      <c r="B86" s="273"/>
      <c r="C86" s="151"/>
      <c r="D86" s="80" t="s">
        <v>404</v>
      </c>
      <c r="E86" s="155">
        <v>700</v>
      </c>
    </row>
    <row r="87" spans="1:5" s="172" customFormat="1" ht="15" customHeight="1">
      <c r="A87" s="151"/>
      <c r="B87" s="273"/>
      <c r="C87" s="151"/>
      <c r="D87" s="80" t="s">
        <v>405</v>
      </c>
      <c r="E87" s="155">
        <v>200</v>
      </c>
    </row>
    <row r="88" spans="1:5" s="172" customFormat="1" ht="15" customHeight="1">
      <c r="A88" s="151"/>
      <c r="B88" s="273"/>
      <c r="C88" s="151"/>
      <c r="D88" s="80" t="s">
        <v>406</v>
      </c>
      <c r="E88" s="155">
        <v>700</v>
      </c>
    </row>
    <row r="89" spans="1:5" s="172" customFormat="1" ht="21.75" customHeight="1">
      <c r="A89" s="169"/>
      <c r="B89" s="169"/>
      <c r="C89" s="169" t="s">
        <v>221</v>
      </c>
      <c r="D89" s="80" t="s">
        <v>106</v>
      </c>
      <c r="E89" s="148">
        <f>E90+E91+E92+E93+E94+E95+E96+E97+E98+E99+E100+E101+E102+E103+E104+E105+E106+E107</f>
        <v>21150</v>
      </c>
    </row>
    <row r="90" spans="1:5" s="172" customFormat="1" ht="15" customHeight="1">
      <c r="A90" s="170"/>
      <c r="B90" s="170"/>
      <c r="C90" s="170"/>
      <c r="D90" s="165" t="s">
        <v>212</v>
      </c>
      <c r="E90" s="155">
        <v>700</v>
      </c>
    </row>
    <row r="91" spans="1:5" s="172" customFormat="1" ht="15" customHeight="1">
      <c r="A91" s="170"/>
      <c r="B91" s="170"/>
      <c r="C91" s="170"/>
      <c r="D91" s="165" t="s">
        <v>213</v>
      </c>
      <c r="E91" s="155">
        <v>500</v>
      </c>
    </row>
    <row r="92" spans="1:5" s="172" customFormat="1" ht="15" customHeight="1">
      <c r="A92" s="170"/>
      <c r="B92" s="170"/>
      <c r="C92" s="170"/>
      <c r="D92" s="165" t="s">
        <v>222</v>
      </c>
      <c r="E92" s="155">
        <v>600</v>
      </c>
    </row>
    <row r="93" spans="1:5" s="94" customFormat="1" ht="15" customHeight="1">
      <c r="A93" s="170"/>
      <c r="B93" s="170"/>
      <c r="C93" s="170"/>
      <c r="D93" s="165" t="s">
        <v>214</v>
      </c>
      <c r="E93" s="155">
        <v>2000</v>
      </c>
    </row>
    <row r="94" spans="1:5" s="174" customFormat="1" ht="15" customHeight="1">
      <c r="A94" s="170"/>
      <c r="B94" s="170"/>
      <c r="C94" s="170"/>
      <c r="D94" s="165" t="s">
        <v>215</v>
      </c>
      <c r="E94" s="155">
        <v>800</v>
      </c>
    </row>
    <row r="95" spans="1:5" s="172" customFormat="1" ht="15" customHeight="1">
      <c r="A95" s="170"/>
      <c r="B95" s="170"/>
      <c r="C95" s="170"/>
      <c r="D95" s="165" t="s">
        <v>216</v>
      </c>
      <c r="E95" s="155">
        <v>500</v>
      </c>
    </row>
    <row r="96" spans="1:5" s="172" customFormat="1" ht="15" customHeight="1">
      <c r="A96" s="170"/>
      <c r="B96" s="170"/>
      <c r="C96" s="170"/>
      <c r="D96" s="165" t="s">
        <v>203</v>
      </c>
      <c r="E96" s="155">
        <v>2500</v>
      </c>
    </row>
    <row r="97" spans="1:5" s="172" customFormat="1" ht="15" customHeight="1">
      <c r="A97" s="170"/>
      <c r="B97" s="170"/>
      <c r="C97" s="170"/>
      <c r="D97" s="165" t="s">
        <v>204</v>
      </c>
      <c r="E97" s="155">
        <v>1150</v>
      </c>
    </row>
    <row r="98" spans="1:5" s="172" customFormat="1" ht="15" customHeight="1">
      <c r="A98" s="170"/>
      <c r="B98" s="170"/>
      <c r="C98" s="170"/>
      <c r="D98" s="165" t="s">
        <v>217</v>
      </c>
      <c r="E98" s="155">
        <v>1500</v>
      </c>
    </row>
    <row r="99" spans="1:5" s="172" customFormat="1" ht="15" customHeight="1">
      <c r="A99" s="170"/>
      <c r="B99" s="170"/>
      <c r="C99" s="170"/>
      <c r="D99" s="165" t="s">
        <v>205</v>
      </c>
      <c r="E99" s="155">
        <v>600</v>
      </c>
    </row>
    <row r="100" spans="1:5" s="172" customFormat="1" ht="15" customHeight="1">
      <c r="A100" s="170"/>
      <c r="B100" s="170"/>
      <c r="C100" s="170"/>
      <c r="D100" s="165" t="s">
        <v>206</v>
      </c>
      <c r="E100" s="155">
        <v>3000</v>
      </c>
    </row>
    <row r="101" spans="1:5" s="172" customFormat="1" ht="15" customHeight="1">
      <c r="A101" s="170"/>
      <c r="B101" s="170"/>
      <c r="C101" s="170"/>
      <c r="D101" s="165" t="s">
        <v>208</v>
      </c>
      <c r="E101" s="155">
        <v>400</v>
      </c>
    </row>
    <row r="102" spans="1:5" s="172" customFormat="1" ht="15" customHeight="1">
      <c r="A102" s="170"/>
      <c r="B102" s="170"/>
      <c r="C102" s="170"/>
      <c r="D102" s="165" t="s">
        <v>407</v>
      </c>
      <c r="E102" s="155">
        <v>1000</v>
      </c>
    </row>
    <row r="103" spans="1:5" s="172" customFormat="1" ht="15" customHeight="1">
      <c r="A103" s="170"/>
      <c r="B103" s="170"/>
      <c r="C103" s="170"/>
      <c r="D103" s="165" t="s">
        <v>220</v>
      </c>
      <c r="E103" s="155">
        <v>1000</v>
      </c>
    </row>
    <row r="104" spans="1:5" s="172" customFormat="1" ht="15" customHeight="1">
      <c r="A104" s="170"/>
      <c r="B104" s="170"/>
      <c r="C104" s="170"/>
      <c r="D104" s="165" t="s">
        <v>209</v>
      </c>
      <c r="E104" s="155">
        <v>2500</v>
      </c>
    </row>
    <row r="105" spans="1:5" s="172" customFormat="1" ht="15" customHeight="1">
      <c r="A105" s="170"/>
      <c r="B105" s="170"/>
      <c r="C105" s="170"/>
      <c r="D105" s="165" t="s">
        <v>219</v>
      </c>
      <c r="E105" s="155">
        <v>1000</v>
      </c>
    </row>
    <row r="106" spans="1:5" s="172" customFormat="1" ht="15" customHeight="1">
      <c r="A106" s="170"/>
      <c r="B106" s="170"/>
      <c r="C106" s="170"/>
      <c r="D106" s="165" t="s">
        <v>211</v>
      </c>
      <c r="E106" s="155">
        <v>400</v>
      </c>
    </row>
    <row r="107" spans="1:5" s="172" customFormat="1" ht="15" customHeight="1">
      <c r="A107" s="170"/>
      <c r="B107" s="170"/>
      <c r="C107" s="170"/>
      <c r="D107" s="165" t="s">
        <v>223</v>
      </c>
      <c r="E107" s="155">
        <v>1000</v>
      </c>
    </row>
    <row r="108" spans="1:5" s="172" customFormat="1" ht="21.75" customHeight="1">
      <c r="A108" s="169"/>
      <c r="B108" s="169"/>
      <c r="C108" s="169">
        <v>4300</v>
      </c>
      <c r="D108" s="80" t="s">
        <v>93</v>
      </c>
      <c r="E108" s="148">
        <f>E109+E110</f>
        <v>3700</v>
      </c>
    </row>
    <row r="109" spans="1:5" s="174" customFormat="1" ht="15" customHeight="1">
      <c r="A109" s="170"/>
      <c r="B109" s="170"/>
      <c r="C109" s="170"/>
      <c r="D109" s="165" t="s">
        <v>205</v>
      </c>
      <c r="E109" s="155">
        <v>1600</v>
      </c>
    </row>
    <row r="110" spans="1:5" s="174" customFormat="1" ht="15" customHeight="1">
      <c r="A110" s="170"/>
      <c r="B110" s="170"/>
      <c r="C110" s="170"/>
      <c r="D110" s="165" t="s">
        <v>208</v>
      </c>
      <c r="E110" s="155">
        <v>2100</v>
      </c>
    </row>
    <row r="111" spans="1:5" s="281" customFormat="1" ht="30.75" customHeight="1">
      <c r="A111" s="60">
        <v>754</v>
      </c>
      <c r="B111" s="6"/>
      <c r="C111" s="6"/>
      <c r="D111" s="36" t="s">
        <v>26</v>
      </c>
      <c r="E111" s="29">
        <f>E112</f>
        <v>5000</v>
      </c>
    </row>
    <row r="112" spans="1:5" s="172" customFormat="1" ht="21.75" customHeight="1">
      <c r="A112" s="169"/>
      <c r="B112" s="169">
        <v>75412</v>
      </c>
      <c r="C112" s="101"/>
      <c r="D112" s="80" t="s">
        <v>115</v>
      </c>
      <c r="E112" s="148">
        <f>E113</f>
        <v>5000</v>
      </c>
    </row>
    <row r="113" spans="1:5" s="172" customFormat="1" ht="21.75" customHeight="1">
      <c r="A113" s="169"/>
      <c r="B113" s="101"/>
      <c r="C113" s="169">
        <v>4210</v>
      </c>
      <c r="D113" s="80" t="s">
        <v>225</v>
      </c>
      <c r="E113" s="148">
        <f>E114+E115+E116</f>
        <v>5000</v>
      </c>
    </row>
    <row r="114" spans="1:5" s="168" customFormat="1" ht="15" customHeight="1">
      <c r="A114" s="169"/>
      <c r="B114" s="101"/>
      <c r="C114" s="169"/>
      <c r="D114" s="165" t="s">
        <v>215</v>
      </c>
      <c r="E114" s="155">
        <v>2000</v>
      </c>
    </row>
    <row r="115" spans="1:5" s="94" customFormat="1" ht="15" customHeight="1">
      <c r="A115" s="169"/>
      <c r="B115" s="101"/>
      <c r="C115" s="169"/>
      <c r="D115" s="165" t="s">
        <v>216</v>
      </c>
      <c r="E115" s="155">
        <v>1000</v>
      </c>
    </row>
    <row r="116" spans="1:5" s="94" customFormat="1" ht="15" customHeight="1">
      <c r="A116" s="169"/>
      <c r="B116" s="101"/>
      <c r="C116" s="169"/>
      <c r="D116" s="165" t="s">
        <v>208</v>
      </c>
      <c r="E116" s="155">
        <v>2000</v>
      </c>
    </row>
    <row r="117" spans="1:5" s="75" customFormat="1" ht="21.75" customHeight="1">
      <c r="A117" s="60" t="s">
        <v>126</v>
      </c>
      <c r="B117" s="6"/>
      <c r="C117" s="6"/>
      <c r="D117" s="36" t="s">
        <v>127</v>
      </c>
      <c r="E117" s="29">
        <f>E118+E126+E131</f>
        <v>6000</v>
      </c>
    </row>
    <row r="118" spans="1:5" s="168" customFormat="1" ht="21.75" customHeight="1">
      <c r="A118" s="169"/>
      <c r="B118" s="169" t="s">
        <v>128</v>
      </c>
      <c r="C118" s="101"/>
      <c r="D118" s="80" t="s">
        <v>62</v>
      </c>
      <c r="E118" s="148">
        <f>E119</f>
        <v>4000</v>
      </c>
    </row>
    <row r="119" spans="1:5" s="94" customFormat="1" ht="21.75" customHeight="1">
      <c r="A119" s="169"/>
      <c r="B119" s="169"/>
      <c r="C119" s="169">
        <v>4300</v>
      </c>
      <c r="D119" s="80" t="s">
        <v>93</v>
      </c>
      <c r="E119" s="148">
        <f>E120+E121+E122+E123+E124+E125</f>
        <v>4000</v>
      </c>
    </row>
    <row r="120" spans="1:5" s="94" customFormat="1" ht="15" customHeight="1">
      <c r="A120" s="169"/>
      <c r="B120" s="169"/>
      <c r="C120" s="169"/>
      <c r="D120" s="165" t="s">
        <v>214</v>
      </c>
      <c r="E120" s="148">
        <v>1000</v>
      </c>
    </row>
    <row r="121" spans="1:5" s="94" customFormat="1" ht="15" customHeight="1">
      <c r="A121" s="170"/>
      <c r="B121" s="170"/>
      <c r="C121" s="170"/>
      <c r="D121" s="165" t="s">
        <v>215</v>
      </c>
      <c r="E121" s="155">
        <v>1000</v>
      </c>
    </row>
    <row r="122" spans="1:5" s="94" customFormat="1" ht="15" customHeight="1">
      <c r="A122" s="170"/>
      <c r="B122" s="170"/>
      <c r="C122" s="170"/>
      <c r="D122" s="165" t="s">
        <v>216</v>
      </c>
      <c r="E122" s="155">
        <v>500</v>
      </c>
    </row>
    <row r="123" spans="1:5" s="94" customFormat="1" ht="15" customHeight="1">
      <c r="A123" s="170"/>
      <c r="B123" s="170"/>
      <c r="C123" s="170"/>
      <c r="D123" s="165" t="s">
        <v>217</v>
      </c>
      <c r="E123" s="155">
        <v>500</v>
      </c>
    </row>
    <row r="124" spans="1:5" s="94" customFormat="1" ht="15" customHeight="1">
      <c r="A124" s="170"/>
      <c r="B124" s="170"/>
      <c r="C124" s="170"/>
      <c r="D124" s="165" t="s">
        <v>203</v>
      </c>
      <c r="E124" s="155">
        <v>500</v>
      </c>
    </row>
    <row r="125" spans="1:5" s="94" customFormat="1" ht="15" customHeight="1">
      <c r="A125" s="170"/>
      <c r="B125" s="170"/>
      <c r="C125" s="170"/>
      <c r="D125" s="165" t="s">
        <v>208</v>
      </c>
      <c r="E125" s="155">
        <v>500</v>
      </c>
    </row>
    <row r="126" spans="1:5" s="94" customFormat="1" ht="21.75" customHeight="1">
      <c r="A126" s="102"/>
      <c r="B126" s="102">
        <v>80103</v>
      </c>
      <c r="C126" s="102"/>
      <c r="D126" s="100" t="s">
        <v>332</v>
      </c>
      <c r="E126" s="148">
        <f>E127</f>
        <v>1500</v>
      </c>
    </row>
    <row r="127" spans="1:5" s="94" customFormat="1" ht="21.75" customHeight="1">
      <c r="A127" s="102"/>
      <c r="B127" s="102"/>
      <c r="C127" s="102">
        <v>4300</v>
      </c>
      <c r="D127" s="80" t="s">
        <v>93</v>
      </c>
      <c r="E127" s="148">
        <f>E128+E129+E130</f>
        <v>1500</v>
      </c>
    </row>
    <row r="128" spans="1:5" s="94" customFormat="1" ht="15" customHeight="1">
      <c r="A128" s="170"/>
      <c r="B128" s="170"/>
      <c r="C128" s="170"/>
      <c r="D128" s="165" t="s">
        <v>215</v>
      </c>
      <c r="E128" s="155">
        <v>500</v>
      </c>
    </row>
    <row r="129" spans="1:5" s="94" customFormat="1" ht="15" customHeight="1">
      <c r="A129" s="170"/>
      <c r="B129" s="170"/>
      <c r="C129" s="170"/>
      <c r="D129" s="165" t="s">
        <v>216</v>
      </c>
      <c r="E129" s="155">
        <v>500</v>
      </c>
    </row>
    <row r="130" spans="1:5" s="94" customFormat="1" ht="15" customHeight="1">
      <c r="A130" s="170"/>
      <c r="B130" s="170"/>
      <c r="C130" s="170"/>
      <c r="D130" s="165" t="s">
        <v>217</v>
      </c>
      <c r="E130" s="155">
        <v>500</v>
      </c>
    </row>
    <row r="131" spans="1:5" s="94" customFormat="1" ht="21.75" customHeight="1">
      <c r="A131" s="169"/>
      <c r="B131" s="169">
        <v>80110</v>
      </c>
      <c r="C131" s="101"/>
      <c r="D131" s="80" t="s">
        <v>63</v>
      </c>
      <c r="E131" s="148">
        <f>E132</f>
        <v>500</v>
      </c>
    </row>
    <row r="132" spans="1:5" s="94" customFormat="1" ht="21.75" customHeight="1">
      <c r="A132" s="169"/>
      <c r="B132" s="169"/>
      <c r="C132" s="101">
        <v>4300</v>
      </c>
      <c r="D132" s="80" t="s">
        <v>93</v>
      </c>
      <c r="E132" s="148">
        <f>E133</f>
        <v>500</v>
      </c>
    </row>
    <row r="133" spans="1:5" s="94" customFormat="1" ht="15" customHeight="1">
      <c r="A133" s="171"/>
      <c r="B133" s="171"/>
      <c r="C133" s="175"/>
      <c r="D133" s="165" t="s">
        <v>208</v>
      </c>
      <c r="E133" s="155">
        <v>500</v>
      </c>
    </row>
    <row r="134" spans="1:5" s="280" customFormat="1" ht="21.75" customHeight="1">
      <c r="A134" s="60">
        <v>854</v>
      </c>
      <c r="B134" s="6"/>
      <c r="C134" s="6"/>
      <c r="D134" s="36" t="s">
        <v>71</v>
      </c>
      <c r="E134" s="29">
        <f>E135</f>
        <v>13550</v>
      </c>
    </row>
    <row r="135" spans="1:5" s="94" customFormat="1" ht="33.75">
      <c r="A135" s="169"/>
      <c r="B135" s="169">
        <v>85412</v>
      </c>
      <c r="C135" s="101"/>
      <c r="D135" s="80" t="s">
        <v>259</v>
      </c>
      <c r="E135" s="148">
        <f>E136+E138</f>
        <v>13550</v>
      </c>
    </row>
    <row r="136" spans="1:5" s="94" customFormat="1" ht="21.75" customHeight="1">
      <c r="A136" s="169"/>
      <c r="B136" s="169"/>
      <c r="C136" s="101">
        <v>4210</v>
      </c>
      <c r="D136" s="80" t="s">
        <v>86</v>
      </c>
      <c r="E136" s="148">
        <f>E137</f>
        <v>500</v>
      </c>
    </row>
    <row r="137" spans="1:5" s="94" customFormat="1" ht="15" customHeight="1">
      <c r="A137" s="169"/>
      <c r="B137" s="169"/>
      <c r="C137" s="101"/>
      <c r="D137" s="80" t="s">
        <v>408</v>
      </c>
      <c r="E137" s="148">
        <v>500</v>
      </c>
    </row>
    <row r="138" spans="1:5" s="94" customFormat="1" ht="21.75" customHeight="1">
      <c r="A138" s="169"/>
      <c r="B138" s="169"/>
      <c r="C138" s="101">
        <v>4300</v>
      </c>
      <c r="D138" s="80" t="s">
        <v>93</v>
      </c>
      <c r="E138" s="148">
        <f>E139+E140+E141+E142</f>
        <v>13050</v>
      </c>
    </row>
    <row r="139" spans="1:5" s="94" customFormat="1" ht="15" customHeight="1">
      <c r="A139" s="171"/>
      <c r="B139" s="171"/>
      <c r="C139" s="175"/>
      <c r="D139" s="165" t="s">
        <v>212</v>
      </c>
      <c r="E139" s="155">
        <v>1930</v>
      </c>
    </row>
    <row r="140" spans="1:5" s="168" customFormat="1" ht="15" customHeight="1">
      <c r="A140" s="171"/>
      <c r="B140" s="171"/>
      <c r="C140" s="175"/>
      <c r="D140" s="165" t="s">
        <v>216</v>
      </c>
      <c r="E140" s="155">
        <v>8420</v>
      </c>
    </row>
    <row r="141" spans="1:5" s="94" customFormat="1" ht="15" customHeight="1">
      <c r="A141" s="171"/>
      <c r="B141" s="171"/>
      <c r="C141" s="175"/>
      <c r="D141" s="165" t="s">
        <v>208</v>
      </c>
      <c r="E141" s="155">
        <v>700</v>
      </c>
    </row>
    <row r="142" spans="1:5" s="94" customFormat="1" ht="15" customHeight="1">
      <c r="A142" s="171"/>
      <c r="B142" s="171"/>
      <c r="C142" s="175"/>
      <c r="D142" s="165" t="s">
        <v>209</v>
      </c>
      <c r="E142" s="155">
        <v>2000</v>
      </c>
    </row>
    <row r="143" spans="1:5" s="75" customFormat="1" ht="25.5" customHeight="1">
      <c r="A143" s="60" t="s">
        <v>146</v>
      </c>
      <c r="B143" s="6"/>
      <c r="C143" s="6"/>
      <c r="D143" s="36" t="s">
        <v>73</v>
      </c>
      <c r="E143" s="29">
        <v>56520</v>
      </c>
    </row>
    <row r="144" spans="1:5" s="94" customFormat="1" ht="21.75" customHeight="1">
      <c r="A144" s="169"/>
      <c r="B144" s="169" t="s">
        <v>148</v>
      </c>
      <c r="C144" s="101"/>
      <c r="D144" s="80" t="s">
        <v>149</v>
      </c>
      <c r="E144" s="148">
        <f>E145</f>
        <v>8000</v>
      </c>
    </row>
    <row r="145" spans="1:5" s="94" customFormat="1" ht="21.75" customHeight="1">
      <c r="A145" s="169"/>
      <c r="B145" s="169"/>
      <c r="C145" s="101">
        <v>4300</v>
      </c>
      <c r="D145" s="97" t="s">
        <v>93</v>
      </c>
      <c r="E145" s="148">
        <f>E146+E147+E148+E149+E150+E151+E152+E153+E154</f>
        <v>8000</v>
      </c>
    </row>
    <row r="146" spans="1:5" s="94" customFormat="1" ht="15" customHeight="1">
      <c r="A146" s="170"/>
      <c r="B146" s="170"/>
      <c r="C146" s="170"/>
      <c r="D146" s="165" t="s">
        <v>222</v>
      </c>
      <c r="E146" s="155">
        <v>400</v>
      </c>
    </row>
    <row r="147" spans="1:5" s="94" customFormat="1" ht="15" customHeight="1">
      <c r="A147" s="170"/>
      <c r="B147" s="170"/>
      <c r="C147" s="170"/>
      <c r="D147" s="165" t="s">
        <v>214</v>
      </c>
      <c r="E147" s="155">
        <v>2000</v>
      </c>
    </row>
    <row r="148" spans="1:5" s="94" customFormat="1" ht="15" customHeight="1">
      <c r="A148" s="170"/>
      <c r="B148" s="170"/>
      <c r="C148" s="170"/>
      <c r="D148" s="165" t="s">
        <v>204</v>
      </c>
      <c r="E148" s="155">
        <v>800</v>
      </c>
    </row>
    <row r="149" spans="1:5" s="94" customFormat="1" ht="15" customHeight="1">
      <c r="A149" s="170"/>
      <c r="B149" s="170"/>
      <c r="C149" s="170"/>
      <c r="D149" s="165" t="s">
        <v>205</v>
      </c>
      <c r="E149" s="155">
        <v>1000</v>
      </c>
    </row>
    <row r="150" spans="1:5" s="94" customFormat="1" ht="15" customHeight="1">
      <c r="A150" s="170"/>
      <c r="B150" s="170"/>
      <c r="C150" s="170"/>
      <c r="D150" s="165" t="s">
        <v>206</v>
      </c>
      <c r="E150" s="155">
        <v>700</v>
      </c>
    </row>
    <row r="151" spans="1:5" s="94" customFormat="1" ht="15" customHeight="1">
      <c r="A151" s="170"/>
      <c r="B151" s="170"/>
      <c r="C151" s="170"/>
      <c r="D151" s="165" t="s">
        <v>208</v>
      </c>
      <c r="E151" s="155">
        <v>1500</v>
      </c>
    </row>
    <row r="152" spans="1:5" s="94" customFormat="1" ht="15" customHeight="1">
      <c r="A152" s="170"/>
      <c r="B152" s="170"/>
      <c r="C152" s="170"/>
      <c r="D152" s="165" t="s">
        <v>218</v>
      </c>
      <c r="E152" s="155">
        <v>300</v>
      </c>
    </row>
    <row r="153" spans="1:5" s="94" customFormat="1" ht="15" customHeight="1">
      <c r="A153" s="170"/>
      <c r="B153" s="170"/>
      <c r="C153" s="170"/>
      <c r="D153" s="165" t="s">
        <v>220</v>
      </c>
      <c r="E153" s="155">
        <v>1000</v>
      </c>
    </row>
    <row r="154" spans="1:5" s="94" customFormat="1" ht="15" customHeight="1">
      <c r="A154" s="170"/>
      <c r="B154" s="170"/>
      <c r="C154" s="170"/>
      <c r="D154" s="165" t="s">
        <v>209</v>
      </c>
      <c r="E154" s="155">
        <v>300</v>
      </c>
    </row>
    <row r="155" spans="1:5" s="94" customFormat="1" ht="21.75" customHeight="1">
      <c r="A155" s="169"/>
      <c r="B155" s="169" t="s">
        <v>150</v>
      </c>
      <c r="C155" s="101"/>
      <c r="D155" s="80" t="s">
        <v>201</v>
      </c>
      <c r="E155" s="148">
        <f>E156+E173</f>
        <v>30550</v>
      </c>
    </row>
    <row r="156" spans="1:5" s="94" customFormat="1" ht="21.75" customHeight="1">
      <c r="A156" s="169"/>
      <c r="B156" s="169"/>
      <c r="C156" s="169" t="s">
        <v>221</v>
      </c>
      <c r="D156" s="80" t="s">
        <v>106</v>
      </c>
      <c r="E156" s="148">
        <f>E157+E158+E159+E160+E161+E162+E163+E164+E165+E166+E167+E168+E169+E170+E171+E172</f>
        <v>25850</v>
      </c>
    </row>
    <row r="157" spans="1:5" s="94" customFormat="1" ht="15" customHeight="1">
      <c r="A157" s="170"/>
      <c r="B157" s="170"/>
      <c r="C157" s="170"/>
      <c r="D157" s="165" t="s">
        <v>212</v>
      </c>
      <c r="E157" s="155">
        <v>500</v>
      </c>
    </row>
    <row r="158" spans="1:5" s="94" customFormat="1" ht="15" customHeight="1">
      <c r="A158" s="170"/>
      <c r="B158" s="170"/>
      <c r="C158" s="170"/>
      <c r="D158" s="165" t="s">
        <v>222</v>
      </c>
      <c r="E158" s="155">
        <v>500</v>
      </c>
    </row>
    <row r="159" spans="1:5" s="94" customFormat="1" ht="15" customHeight="1">
      <c r="A159" s="170"/>
      <c r="B159" s="170"/>
      <c r="C159" s="170"/>
      <c r="D159" s="165" t="s">
        <v>214</v>
      </c>
      <c r="E159" s="155">
        <v>100</v>
      </c>
    </row>
    <row r="160" spans="1:5" s="94" customFormat="1" ht="15" customHeight="1">
      <c r="A160" s="170"/>
      <c r="B160" s="170"/>
      <c r="C160" s="170"/>
      <c r="D160" s="165" t="s">
        <v>215</v>
      </c>
      <c r="E160" s="155">
        <v>500</v>
      </c>
    </row>
    <row r="161" spans="1:5" s="94" customFormat="1" ht="15" customHeight="1">
      <c r="A161" s="170"/>
      <c r="B161" s="170"/>
      <c r="C161" s="170"/>
      <c r="D161" s="165" t="s">
        <v>216</v>
      </c>
      <c r="E161" s="155">
        <v>600</v>
      </c>
    </row>
    <row r="162" spans="1:5" s="94" customFormat="1" ht="15" customHeight="1">
      <c r="A162" s="170"/>
      <c r="B162" s="170"/>
      <c r="C162" s="170"/>
      <c r="D162" s="165" t="s">
        <v>203</v>
      </c>
      <c r="E162" s="155">
        <v>400</v>
      </c>
    </row>
    <row r="163" spans="1:5" s="94" customFormat="1" ht="15" customHeight="1">
      <c r="A163" s="170"/>
      <c r="B163" s="170"/>
      <c r="C163" s="170"/>
      <c r="D163" s="165" t="s">
        <v>204</v>
      </c>
      <c r="E163" s="155">
        <v>820</v>
      </c>
    </row>
    <row r="164" spans="1:5" s="94" customFormat="1" ht="15" customHeight="1">
      <c r="A164" s="170"/>
      <c r="B164" s="170"/>
      <c r="C164" s="170"/>
      <c r="D164" s="165" t="s">
        <v>217</v>
      </c>
      <c r="E164" s="155">
        <v>12520</v>
      </c>
    </row>
    <row r="165" spans="1:5" s="94" customFormat="1" ht="15" customHeight="1">
      <c r="A165" s="170"/>
      <c r="B165" s="170"/>
      <c r="C165" s="170"/>
      <c r="D165" s="165" t="s">
        <v>205</v>
      </c>
      <c r="E165" s="155">
        <v>2300</v>
      </c>
    </row>
    <row r="166" spans="1:5" s="94" customFormat="1" ht="15" customHeight="1">
      <c r="A166" s="170"/>
      <c r="B166" s="170"/>
      <c r="C166" s="170"/>
      <c r="D166" s="165" t="s">
        <v>206</v>
      </c>
      <c r="E166" s="155">
        <v>200</v>
      </c>
    </row>
    <row r="167" spans="1:5" s="94" customFormat="1" ht="15" customHeight="1">
      <c r="A167" s="170"/>
      <c r="B167" s="170"/>
      <c r="C167" s="170"/>
      <c r="D167" s="165" t="s">
        <v>208</v>
      </c>
      <c r="E167" s="155">
        <v>3000</v>
      </c>
    </row>
    <row r="168" spans="1:5" s="94" customFormat="1" ht="15" customHeight="1">
      <c r="A168" s="170"/>
      <c r="B168" s="170"/>
      <c r="C168" s="170"/>
      <c r="D168" s="165" t="s">
        <v>218</v>
      </c>
      <c r="E168" s="155">
        <v>3200</v>
      </c>
    </row>
    <row r="169" spans="1:5" s="94" customFormat="1" ht="15" customHeight="1">
      <c r="A169" s="170"/>
      <c r="B169" s="170"/>
      <c r="C169" s="170"/>
      <c r="D169" s="165" t="s">
        <v>220</v>
      </c>
      <c r="E169" s="155">
        <v>160</v>
      </c>
    </row>
    <row r="170" spans="1:5" s="94" customFormat="1" ht="15" customHeight="1">
      <c r="A170" s="170"/>
      <c r="B170" s="170"/>
      <c r="C170" s="170"/>
      <c r="D170" s="165" t="s">
        <v>209</v>
      </c>
      <c r="E170" s="155">
        <v>250</v>
      </c>
    </row>
    <row r="171" spans="1:5" s="94" customFormat="1" ht="15" customHeight="1">
      <c r="A171" s="170"/>
      <c r="B171" s="170"/>
      <c r="C171" s="170"/>
      <c r="D171" s="165" t="s">
        <v>219</v>
      </c>
      <c r="E171" s="155">
        <v>500</v>
      </c>
    </row>
    <row r="172" spans="1:5" s="94" customFormat="1" ht="15" customHeight="1">
      <c r="A172" s="170"/>
      <c r="B172" s="170"/>
      <c r="C172" s="170"/>
      <c r="D172" s="165" t="s">
        <v>223</v>
      </c>
      <c r="E172" s="155">
        <v>300</v>
      </c>
    </row>
    <row r="173" spans="1:5" s="94" customFormat="1" ht="21.75" customHeight="1">
      <c r="A173" s="169"/>
      <c r="B173" s="169"/>
      <c r="C173" s="169" t="s">
        <v>224</v>
      </c>
      <c r="D173" s="80" t="s">
        <v>93</v>
      </c>
      <c r="E173" s="148">
        <f>E174+E175+E176</f>
        <v>4700</v>
      </c>
    </row>
    <row r="174" spans="1:5" s="94" customFormat="1" ht="15" customHeight="1">
      <c r="A174" s="169"/>
      <c r="B174" s="169"/>
      <c r="C174" s="169"/>
      <c r="D174" s="165" t="s">
        <v>222</v>
      </c>
      <c r="E174" s="155">
        <v>300</v>
      </c>
    </row>
    <row r="175" spans="1:5" s="94" customFormat="1" ht="15" customHeight="1">
      <c r="A175" s="169"/>
      <c r="B175" s="169"/>
      <c r="C175" s="169"/>
      <c r="D175" s="165" t="s">
        <v>203</v>
      </c>
      <c r="E175" s="155">
        <v>1600</v>
      </c>
    </row>
    <row r="176" spans="1:5" s="94" customFormat="1" ht="15" customHeight="1">
      <c r="A176" s="170"/>
      <c r="B176" s="170"/>
      <c r="C176" s="170"/>
      <c r="D176" s="165" t="s">
        <v>205</v>
      </c>
      <c r="E176" s="155">
        <v>2800</v>
      </c>
    </row>
    <row r="177" spans="1:5" s="94" customFormat="1" ht="21.75" customHeight="1">
      <c r="A177" s="169"/>
      <c r="B177" s="169" t="s">
        <v>156</v>
      </c>
      <c r="C177" s="101"/>
      <c r="D177" s="80" t="s">
        <v>157</v>
      </c>
      <c r="E177" s="148">
        <f>E178</f>
        <v>10000</v>
      </c>
    </row>
    <row r="178" spans="1:5" s="94" customFormat="1" ht="21.75" customHeight="1">
      <c r="A178" s="169"/>
      <c r="B178" s="101"/>
      <c r="C178" s="169">
        <v>6050</v>
      </c>
      <c r="D178" s="80" t="s">
        <v>87</v>
      </c>
      <c r="E178" s="148">
        <f>E179+E180+E181</f>
        <v>10000</v>
      </c>
    </row>
    <row r="179" spans="1:5" s="94" customFormat="1" ht="15" customHeight="1">
      <c r="A179" s="169"/>
      <c r="B179" s="101"/>
      <c r="C179" s="169"/>
      <c r="D179" s="165" t="s">
        <v>216</v>
      </c>
      <c r="E179" s="155">
        <v>3000</v>
      </c>
    </row>
    <row r="180" spans="1:5" s="94" customFormat="1" ht="15" customHeight="1">
      <c r="A180" s="170"/>
      <c r="B180" s="170"/>
      <c r="C180" s="170"/>
      <c r="D180" s="165" t="s">
        <v>214</v>
      </c>
      <c r="E180" s="155">
        <v>4000</v>
      </c>
    </row>
    <row r="181" spans="1:5" s="94" customFormat="1" ht="15" customHeight="1">
      <c r="A181" s="170"/>
      <c r="B181" s="170"/>
      <c r="C181" s="170"/>
      <c r="D181" s="165" t="s">
        <v>215</v>
      </c>
      <c r="E181" s="155">
        <v>3000</v>
      </c>
    </row>
    <row r="182" spans="1:5" s="94" customFormat="1" ht="21.75" customHeight="1">
      <c r="A182" s="169"/>
      <c r="B182" s="169">
        <v>90095</v>
      </c>
      <c r="C182" s="101"/>
      <c r="D182" s="80" t="s">
        <v>6</v>
      </c>
      <c r="E182" s="148">
        <f>E183+E187</f>
        <v>7970</v>
      </c>
    </row>
    <row r="183" spans="1:5" s="94" customFormat="1" ht="21.75" customHeight="1">
      <c r="A183" s="169"/>
      <c r="B183" s="169"/>
      <c r="C183" s="101">
        <v>4210</v>
      </c>
      <c r="D183" s="80" t="s">
        <v>86</v>
      </c>
      <c r="E183" s="148">
        <f>E184+E185+E186</f>
        <v>6970</v>
      </c>
    </row>
    <row r="184" spans="1:5" s="94" customFormat="1" ht="15" customHeight="1">
      <c r="A184" s="169"/>
      <c r="B184" s="169"/>
      <c r="C184" s="101"/>
      <c r="D184" s="165" t="s">
        <v>222</v>
      </c>
      <c r="E184" s="155">
        <v>1200</v>
      </c>
    </row>
    <row r="185" spans="1:5" s="94" customFormat="1" ht="15" customHeight="1">
      <c r="A185" s="169"/>
      <c r="B185" s="169"/>
      <c r="C185" s="101"/>
      <c r="D185" s="165" t="s">
        <v>203</v>
      </c>
      <c r="E185" s="155">
        <v>3000</v>
      </c>
    </row>
    <row r="186" spans="1:5" s="94" customFormat="1" ht="15" customHeight="1">
      <c r="A186" s="169"/>
      <c r="B186" s="169"/>
      <c r="C186" s="101"/>
      <c r="D186" s="165" t="s">
        <v>222</v>
      </c>
      <c r="E186" s="155">
        <v>2770</v>
      </c>
    </row>
    <row r="187" spans="1:5" s="94" customFormat="1" ht="21.75" customHeight="1">
      <c r="A187" s="169"/>
      <c r="B187" s="101"/>
      <c r="C187" s="101">
        <v>4300</v>
      </c>
      <c r="D187" s="97" t="s">
        <v>93</v>
      </c>
      <c r="E187" s="148">
        <f>E188</f>
        <v>1000</v>
      </c>
    </row>
    <row r="188" spans="1:5" s="94" customFormat="1" ht="15" customHeight="1">
      <c r="A188" s="169"/>
      <c r="B188" s="101"/>
      <c r="C188" s="101"/>
      <c r="D188" s="165" t="s">
        <v>214</v>
      </c>
      <c r="E188" s="155">
        <v>1000</v>
      </c>
    </row>
    <row r="189" spans="1:5" s="75" customFormat="1" ht="25.5" customHeight="1">
      <c r="A189" s="60" t="s">
        <v>76</v>
      </c>
      <c r="B189" s="6"/>
      <c r="C189" s="6"/>
      <c r="D189" s="36" t="s">
        <v>159</v>
      </c>
      <c r="E189" s="29">
        <v>42840</v>
      </c>
    </row>
    <row r="190" spans="1:5" s="168" customFormat="1" ht="21.75" customHeight="1">
      <c r="A190" s="169"/>
      <c r="B190" s="169" t="s">
        <v>160</v>
      </c>
      <c r="C190" s="101"/>
      <c r="D190" s="80" t="s">
        <v>200</v>
      </c>
      <c r="E190" s="148">
        <f>E191+E203+E218+E223</f>
        <v>42840</v>
      </c>
    </row>
    <row r="191" spans="1:5" s="94" customFormat="1" ht="21.75" customHeight="1">
      <c r="A191" s="169"/>
      <c r="B191" s="169"/>
      <c r="C191" s="169" t="s">
        <v>221</v>
      </c>
      <c r="D191" s="80" t="s">
        <v>106</v>
      </c>
      <c r="E191" s="148">
        <f>E192+E193+E194+E195+E196+E197+E198+E199+E200+E201+E202</f>
        <v>19400</v>
      </c>
    </row>
    <row r="192" spans="1:5" s="94" customFormat="1" ht="15" customHeight="1">
      <c r="A192" s="170"/>
      <c r="B192" s="170"/>
      <c r="C192" s="170"/>
      <c r="D192" s="165" t="s">
        <v>212</v>
      </c>
      <c r="E192" s="155">
        <v>700</v>
      </c>
    </row>
    <row r="193" spans="1:5" s="172" customFormat="1" ht="15" customHeight="1">
      <c r="A193" s="170"/>
      <c r="B193" s="170"/>
      <c r="C193" s="170"/>
      <c r="D193" s="165" t="s">
        <v>214</v>
      </c>
      <c r="E193" s="155">
        <v>500</v>
      </c>
    </row>
    <row r="194" spans="1:5" s="172" customFormat="1" ht="15" customHeight="1">
      <c r="A194" s="170"/>
      <c r="B194" s="170"/>
      <c r="C194" s="170"/>
      <c r="D194" s="165" t="s">
        <v>216</v>
      </c>
      <c r="E194" s="155">
        <v>500</v>
      </c>
    </row>
    <row r="195" spans="1:5" s="172" customFormat="1" ht="15" customHeight="1">
      <c r="A195" s="170"/>
      <c r="B195" s="170"/>
      <c r="C195" s="170"/>
      <c r="D195" s="165" t="s">
        <v>203</v>
      </c>
      <c r="E195" s="155">
        <v>1690</v>
      </c>
    </row>
    <row r="196" spans="1:5" s="94" customFormat="1" ht="15" customHeight="1">
      <c r="A196" s="170"/>
      <c r="B196" s="170"/>
      <c r="C196" s="170"/>
      <c r="D196" s="165" t="s">
        <v>204</v>
      </c>
      <c r="E196" s="155">
        <v>2990</v>
      </c>
    </row>
    <row r="197" spans="1:5" s="94" customFormat="1" ht="15" customHeight="1">
      <c r="A197" s="170"/>
      <c r="B197" s="170"/>
      <c r="C197" s="170"/>
      <c r="D197" s="165" t="s">
        <v>206</v>
      </c>
      <c r="E197" s="155">
        <v>2000</v>
      </c>
    </row>
    <row r="198" spans="1:5" s="94" customFormat="1" ht="15" customHeight="1">
      <c r="A198" s="170"/>
      <c r="B198" s="170"/>
      <c r="C198" s="170"/>
      <c r="D198" s="165" t="s">
        <v>205</v>
      </c>
      <c r="E198" s="155">
        <v>1000</v>
      </c>
    </row>
    <row r="199" spans="1:5" s="94" customFormat="1" ht="15" customHeight="1">
      <c r="A199" s="170"/>
      <c r="B199" s="170"/>
      <c r="C199" s="170"/>
      <c r="D199" s="165" t="s">
        <v>208</v>
      </c>
      <c r="E199" s="155">
        <v>1080</v>
      </c>
    </row>
    <row r="200" spans="1:5" s="94" customFormat="1" ht="15" customHeight="1">
      <c r="A200" s="170"/>
      <c r="B200" s="170"/>
      <c r="C200" s="170"/>
      <c r="D200" s="165" t="s">
        <v>209</v>
      </c>
      <c r="E200" s="155">
        <v>3290</v>
      </c>
    </row>
    <row r="201" spans="1:5" s="94" customFormat="1" ht="15" customHeight="1">
      <c r="A201" s="170"/>
      <c r="B201" s="170"/>
      <c r="C201" s="170"/>
      <c r="D201" s="165" t="s">
        <v>215</v>
      </c>
      <c r="E201" s="155">
        <v>5350</v>
      </c>
    </row>
    <row r="202" spans="1:5" s="94" customFormat="1" ht="15" customHeight="1">
      <c r="A202" s="170"/>
      <c r="B202" s="170"/>
      <c r="C202" s="170"/>
      <c r="D202" s="165" t="s">
        <v>210</v>
      </c>
      <c r="E202" s="155">
        <v>300</v>
      </c>
    </row>
    <row r="203" spans="1:5" s="94" customFormat="1" ht="21.75" customHeight="1">
      <c r="A203" s="169"/>
      <c r="B203" s="169"/>
      <c r="C203" s="169" t="s">
        <v>226</v>
      </c>
      <c r="D203" s="80" t="s">
        <v>109</v>
      </c>
      <c r="E203" s="148">
        <f>E204+E205+E206+E207+E208+E209+E210+E211+E212+E213+E214+E215+E216+E217</f>
        <v>11630</v>
      </c>
    </row>
    <row r="204" spans="1:5" s="94" customFormat="1" ht="15" customHeight="1">
      <c r="A204" s="170"/>
      <c r="B204" s="170"/>
      <c r="C204" s="170"/>
      <c r="D204" s="165" t="s">
        <v>212</v>
      </c>
      <c r="E204" s="155">
        <v>950</v>
      </c>
    </row>
    <row r="205" spans="1:5" s="94" customFormat="1" ht="15" customHeight="1">
      <c r="A205" s="170"/>
      <c r="B205" s="170"/>
      <c r="C205" s="170"/>
      <c r="D205" s="165" t="s">
        <v>213</v>
      </c>
      <c r="E205" s="155">
        <v>450</v>
      </c>
    </row>
    <row r="206" spans="1:5" s="94" customFormat="1" ht="15" customHeight="1">
      <c r="A206" s="170"/>
      <c r="B206" s="170"/>
      <c r="C206" s="170"/>
      <c r="D206" s="165" t="s">
        <v>214</v>
      </c>
      <c r="E206" s="155">
        <v>1070</v>
      </c>
    </row>
    <row r="207" spans="1:5" s="94" customFormat="1" ht="15" customHeight="1">
      <c r="A207" s="170"/>
      <c r="B207" s="170"/>
      <c r="C207" s="170"/>
      <c r="D207" s="165" t="s">
        <v>215</v>
      </c>
      <c r="E207" s="155">
        <v>500</v>
      </c>
    </row>
    <row r="208" spans="1:5" s="94" customFormat="1" ht="15" customHeight="1">
      <c r="A208" s="170"/>
      <c r="B208" s="170"/>
      <c r="C208" s="170"/>
      <c r="D208" s="165" t="s">
        <v>216</v>
      </c>
      <c r="E208" s="155">
        <v>1600</v>
      </c>
    </row>
    <row r="209" spans="1:5" s="94" customFormat="1" ht="15" customHeight="1">
      <c r="A209" s="170"/>
      <c r="B209" s="170"/>
      <c r="C209" s="170"/>
      <c r="D209" s="165" t="s">
        <v>203</v>
      </c>
      <c r="E209" s="155">
        <v>1000</v>
      </c>
    </row>
    <row r="210" spans="1:5" s="94" customFormat="1" ht="15" customHeight="1">
      <c r="A210" s="170"/>
      <c r="B210" s="170"/>
      <c r="C210" s="170"/>
      <c r="D210" s="165" t="s">
        <v>204</v>
      </c>
      <c r="E210" s="155">
        <v>500</v>
      </c>
    </row>
    <row r="211" spans="1:5" s="94" customFormat="1" ht="15" customHeight="1">
      <c r="A211" s="170"/>
      <c r="B211" s="170"/>
      <c r="C211" s="170"/>
      <c r="D211" s="165" t="s">
        <v>210</v>
      </c>
      <c r="E211" s="155">
        <v>260</v>
      </c>
    </row>
    <row r="212" spans="1:5" s="94" customFormat="1" ht="15" customHeight="1">
      <c r="A212" s="170"/>
      <c r="B212" s="170"/>
      <c r="C212" s="170"/>
      <c r="D212" s="165" t="s">
        <v>205</v>
      </c>
      <c r="E212" s="155">
        <v>500</v>
      </c>
    </row>
    <row r="213" spans="1:5" s="94" customFormat="1" ht="15" customHeight="1">
      <c r="A213" s="170"/>
      <c r="B213" s="170"/>
      <c r="C213" s="170"/>
      <c r="D213" s="165" t="s">
        <v>208</v>
      </c>
      <c r="E213" s="155">
        <v>1400</v>
      </c>
    </row>
    <row r="214" spans="1:5" s="94" customFormat="1" ht="15" customHeight="1">
      <c r="A214" s="170"/>
      <c r="B214" s="170"/>
      <c r="C214" s="170"/>
      <c r="D214" s="165" t="s">
        <v>220</v>
      </c>
      <c r="E214" s="155">
        <v>1050</v>
      </c>
    </row>
    <row r="215" spans="1:5" s="94" customFormat="1" ht="15" customHeight="1">
      <c r="A215" s="170"/>
      <c r="B215" s="170"/>
      <c r="C215" s="170"/>
      <c r="D215" s="165" t="s">
        <v>209</v>
      </c>
      <c r="E215" s="155">
        <v>1200</v>
      </c>
    </row>
    <row r="216" spans="1:5" s="94" customFormat="1" ht="15" customHeight="1">
      <c r="A216" s="170"/>
      <c r="B216" s="170"/>
      <c r="C216" s="170"/>
      <c r="D216" s="165" t="s">
        <v>219</v>
      </c>
      <c r="E216" s="155">
        <v>400</v>
      </c>
    </row>
    <row r="217" spans="1:5" s="94" customFormat="1" ht="15" customHeight="1">
      <c r="A217" s="170"/>
      <c r="B217" s="170"/>
      <c r="C217" s="170"/>
      <c r="D217" s="165" t="s">
        <v>223</v>
      </c>
      <c r="E217" s="155">
        <v>750</v>
      </c>
    </row>
    <row r="218" spans="1:5" s="94" customFormat="1" ht="21.75" customHeight="1">
      <c r="A218" s="169"/>
      <c r="B218" s="169"/>
      <c r="C218" s="101">
        <v>4300</v>
      </c>
      <c r="D218" s="97" t="s">
        <v>93</v>
      </c>
      <c r="E218" s="148">
        <f>E219+E220+E221+E222</f>
        <v>10825</v>
      </c>
    </row>
    <row r="219" spans="1:5" s="94" customFormat="1" ht="15" customHeight="1">
      <c r="A219" s="170"/>
      <c r="B219" s="170"/>
      <c r="C219" s="170"/>
      <c r="D219" s="165" t="s">
        <v>213</v>
      </c>
      <c r="E219" s="155">
        <v>4350</v>
      </c>
    </row>
    <row r="220" spans="1:5" s="94" customFormat="1" ht="15" customHeight="1">
      <c r="A220" s="170"/>
      <c r="B220" s="170"/>
      <c r="C220" s="170"/>
      <c r="D220" s="165" t="s">
        <v>209</v>
      </c>
      <c r="E220" s="155">
        <v>100</v>
      </c>
    </row>
    <row r="221" spans="1:5" s="94" customFormat="1" ht="15" customHeight="1">
      <c r="A221" s="170"/>
      <c r="B221" s="170"/>
      <c r="C221" s="170"/>
      <c r="D221" s="165" t="s">
        <v>219</v>
      </c>
      <c r="E221" s="155">
        <v>720</v>
      </c>
    </row>
    <row r="222" spans="1:5" s="94" customFormat="1" ht="15" customHeight="1">
      <c r="A222" s="170"/>
      <c r="B222" s="170"/>
      <c r="C222" s="170"/>
      <c r="D222" s="165" t="s">
        <v>223</v>
      </c>
      <c r="E222" s="155">
        <v>5655</v>
      </c>
    </row>
    <row r="223" spans="1:5" s="172" customFormat="1" ht="21.75" customHeight="1">
      <c r="A223" s="169"/>
      <c r="B223" s="169"/>
      <c r="C223" s="101">
        <v>4430</v>
      </c>
      <c r="D223" s="97" t="s">
        <v>108</v>
      </c>
      <c r="E223" s="148">
        <f>E224+E225+E226+E227+E228+E229+E230+E231+E232+E233+E234+E235+E236+E237</f>
        <v>985</v>
      </c>
    </row>
    <row r="224" spans="1:5" s="172" customFormat="1" ht="15" customHeight="1">
      <c r="A224" s="170"/>
      <c r="B224" s="170"/>
      <c r="C224" s="170"/>
      <c r="D224" s="165" t="s">
        <v>212</v>
      </c>
      <c r="E224" s="155">
        <v>150</v>
      </c>
    </row>
    <row r="225" spans="1:5" s="94" customFormat="1" ht="15" customHeight="1">
      <c r="A225" s="170"/>
      <c r="B225" s="170"/>
      <c r="C225" s="170"/>
      <c r="D225" s="165" t="s">
        <v>213</v>
      </c>
      <c r="E225" s="155">
        <v>70</v>
      </c>
    </row>
    <row r="226" spans="1:5" s="94" customFormat="1" ht="15" customHeight="1">
      <c r="A226" s="170"/>
      <c r="B226" s="170"/>
      <c r="C226" s="170"/>
      <c r="D226" s="165" t="s">
        <v>214</v>
      </c>
      <c r="E226" s="155">
        <v>70</v>
      </c>
    </row>
    <row r="227" spans="1:5" s="94" customFormat="1" ht="15" customHeight="1">
      <c r="A227" s="170"/>
      <c r="B227" s="170"/>
      <c r="C227" s="170"/>
      <c r="D227" s="165" t="s">
        <v>215</v>
      </c>
      <c r="E227" s="155">
        <v>60</v>
      </c>
    </row>
    <row r="228" spans="1:5" s="94" customFormat="1" ht="15" customHeight="1">
      <c r="A228" s="170"/>
      <c r="B228" s="170"/>
      <c r="C228" s="170"/>
      <c r="D228" s="165" t="s">
        <v>216</v>
      </c>
      <c r="E228" s="155">
        <v>80</v>
      </c>
    </row>
    <row r="229" spans="1:5" s="94" customFormat="1" ht="15" customHeight="1">
      <c r="A229" s="170"/>
      <c r="B229" s="170"/>
      <c r="C229" s="170"/>
      <c r="D229" s="165" t="s">
        <v>203</v>
      </c>
      <c r="E229" s="155">
        <v>100</v>
      </c>
    </row>
    <row r="230" spans="1:5" s="94" customFormat="1" ht="15" customHeight="1">
      <c r="A230" s="170"/>
      <c r="B230" s="170"/>
      <c r="C230" s="170"/>
      <c r="D230" s="165" t="s">
        <v>204</v>
      </c>
      <c r="E230" s="155">
        <v>60</v>
      </c>
    </row>
    <row r="231" spans="1:5" s="94" customFormat="1" ht="15" customHeight="1">
      <c r="A231" s="170"/>
      <c r="B231" s="170"/>
      <c r="C231" s="170"/>
      <c r="D231" s="165" t="s">
        <v>217</v>
      </c>
      <c r="E231" s="155">
        <v>20</v>
      </c>
    </row>
    <row r="232" spans="1:5" s="94" customFormat="1" ht="15" customHeight="1">
      <c r="A232" s="170"/>
      <c r="B232" s="170"/>
      <c r="C232" s="170"/>
      <c r="D232" s="165" t="s">
        <v>205</v>
      </c>
      <c r="E232" s="155">
        <v>40</v>
      </c>
    </row>
    <row r="233" spans="1:5" s="94" customFormat="1" ht="15" customHeight="1">
      <c r="A233" s="170"/>
      <c r="B233" s="170"/>
      <c r="C233" s="170"/>
      <c r="D233" s="165" t="s">
        <v>208</v>
      </c>
      <c r="E233" s="155">
        <v>120</v>
      </c>
    </row>
    <row r="234" spans="1:5" s="94" customFormat="1" ht="15" customHeight="1">
      <c r="A234" s="170"/>
      <c r="B234" s="170"/>
      <c r="C234" s="170"/>
      <c r="D234" s="165" t="s">
        <v>220</v>
      </c>
      <c r="E234" s="155">
        <v>40</v>
      </c>
    </row>
    <row r="235" spans="1:5" s="94" customFormat="1" ht="15" customHeight="1">
      <c r="A235" s="170"/>
      <c r="B235" s="170"/>
      <c r="C235" s="170"/>
      <c r="D235" s="165" t="s">
        <v>209</v>
      </c>
      <c r="E235" s="155">
        <v>80</v>
      </c>
    </row>
    <row r="236" spans="1:5" s="94" customFormat="1" ht="15" customHeight="1">
      <c r="A236" s="170"/>
      <c r="B236" s="170"/>
      <c r="C236" s="170"/>
      <c r="D236" s="165" t="s">
        <v>210</v>
      </c>
      <c r="E236" s="155">
        <v>20</v>
      </c>
    </row>
    <row r="237" spans="1:5" s="94" customFormat="1" ht="15" customHeight="1">
      <c r="A237" s="170"/>
      <c r="B237" s="170"/>
      <c r="C237" s="170"/>
      <c r="D237" s="165" t="s">
        <v>223</v>
      </c>
      <c r="E237" s="155">
        <v>75</v>
      </c>
    </row>
    <row r="238" spans="1:5" s="75" customFormat="1" ht="21.75" customHeight="1">
      <c r="A238" s="60" t="s">
        <v>164</v>
      </c>
      <c r="B238" s="6"/>
      <c r="C238" s="6"/>
      <c r="D238" s="36" t="s">
        <v>79</v>
      </c>
      <c r="E238" s="29">
        <v>21390</v>
      </c>
    </row>
    <row r="239" spans="1:5" s="94" customFormat="1" ht="21.75" customHeight="1">
      <c r="A239" s="101"/>
      <c r="B239" s="102">
        <v>92605</v>
      </c>
      <c r="C239" s="101"/>
      <c r="D239" s="80" t="s">
        <v>80</v>
      </c>
      <c r="E239" s="148">
        <f>E240+E253+E256</f>
        <v>21390</v>
      </c>
    </row>
    <row r="240" spans="1:5" s="94" customFormat="1" ht="21.75" customHeight="1">
      <c r="A240" s="101"/>
      <c r="B240" s="169"/>
      <c r="C240" s="169" t="s">
        <v>221</v>
      </c>
      <c r="D240" s="80" t="s">
        <v>106</v>
      </c>
      <c r="E240" s="148">
        <f>E241+E242+E243+E244+E245+E246+E247+E248+E249+E250+E251+E252</f>
        <v>17890</v>
      </c>
    </row>
    <row r="241" spans="1:5" s="94" customFormat="1" ht="15" customHeight="1">
      <c r="A241" s="101"/>
      <c r="B241" s="169"/>
      <c r="C241" s="169"/>
      <c r="D241" s="165" t="s">
        <v>213</v>
      </c>
      <c r="E241" s="155">
        <v>1000</v>
      </c>
    </row>
    <row r="242" spans="1:5" s="94" customFormat="1" ht="15" customHeight="1">
      <c r="A242" s="170"/>
      <c r="B242" s="170"/>
      <c r="C242" s="170"/>
      <c r="D242" s="165" t="s">
        <v>217</v>
      </c>
      <c r="E242" s="155">
        <v>400</v>
      </c>
    </row>
    <row r="243" spans="1:5" s="94" customFormat="1" ht="15" customHeight="1">
      <c r="A243" s="170"/>
      <c r="B243" s="170"/>
      <c r="C243" s="170"/>
      <c r="D243" s="165" t="s">
        <v>215</v>
      </c>
      <c r="E243" s="155">
        <v>1000</v>
      </c>
    </row>
    <row r="244" spans="1:5" s="94" customFormat="1" ht="15" customHeight="1">
      <c r="A244" s="170"/>
      <c r="B244" s="170"/>
      <c r="C244" s="170"/>
      <c r="D244" s="165" t="s">
        <v>203</v>
      </c>
      <c r="E244" s="155">
        <v>500</v>
      </c>
    </row>
    <row r="245" spans="1:5" s="94" customFormat="1" ht="15" customHeight="1">
      <c r="A245" s="170"/>
      <c r="B245" s="170"/>
      <c r="C245" s="170"/>
      <c r="D245" s="165" t="s">
        <v>204</v>
      </c>
      <c r="E245" s="155">
        <v>700</v>
      </c>
    </row>
    <row r="246" spans="1:5" s="94" customFormat="1" ht="15" customHeight="1">
      <c r="A246" s="170"/>
      <c r="B246" s="170"/>
      <c r="C246" s="170"/>
      <c r="D246" s="165" t="s">
        <v>205</v>
      </c>
      <c r="E246" s="155">
        <v>950</v>
      </c>
    </row>
    <row r="247" spans="1:5" s="94" customFormat="1" ht="15" customHeight="1">
      <c r="A247" s="170"/>
      <c r="B247" s="170"/>
      <c r="C247" s="170"/>
      <c r="D247" s="165" t="s">
        <v>206</v>
      </c>
      <c r="E247" s="155">
        <v>3000</v>
      </c>
    </row>
    <row r="248" spans="1:5" s="168" customFormat="1" ht="15" customHeight="1">
      <c r="A248" s="170"/>
      <c r="B248" s="170"/>
      <c r="C248" s="170"/>
      <c r="D248" s="165" t="s">
        <v>208</v>
      </c>
      <c r="E248" s="155">
        <v>1000</v>
      </c>
    </row>
    <row r="249" spans="1:5" s="94" customFormat="1" ht="15" customHeight="1">
      <c r="A249" s="170"/>
      <c r="B249" s="170"/>
      <c r="C249" s="170"/>
      <c r="D249" s="165" t="s">
        <v>220</v>
      </c>
      <c r="E249" s="155">
        <v>380</v>
      </c>
    </row>
    <row r="250" spans="1:5" s="94" customFormat="1" ht="15" customHeight="1">
      <c r="A250" s="170"/>
      <c r="B250" s="170"/>
      <c r="C250" s="170"/>
      <c r="D250" s="165" t="s">
        <v>219</v>
      </c>
      <c r="E250" s="155">
        <v>8160</v>
      </c>
    </row>
    <row r="251" spans="1:5" s="94" customFormat="1" ht="15" customHeight="1">
      <c r="A251" s="170"/>
      <c r="B251" s="170"/>
      <c r="C251" s="170"/>
      <c r="D251" s="165" t="s">
        <v>210</v>
      </c>
      <c r="E251" s="155">
        <v>600</v>
      </c>
    </row>
    <row r="252" spans="1:5" s="94" customFormat="1" ht="15" customHeight="1">
      <c r="A252" s="170"/>
      <c r="B252" s="170"/>
      <c r="C252" s="170"/>
      <c r="D252" s="165" t="s">
        <v>211</v>
      </c>
      <c r="E252" s="155">
        <v>200</v>
      </c>
    </row>
    <row r="253" spans="1:5" s="94" customFormat="1" ht="21.75" customHeight="1">
      <c r="A253" s="169"/>
      <c r="B253" s="169"/>
      <c r="C253" s="169" t="s">
        <v>226</v>
      </c>
      <c r="D253" s="80" t="s">
        <v>109</v>
      </c>
      <c r="E253" s="148">
        <f>E254+E255</f>
        <v>500</v>
      </c>
    </row>
    <row r="254" spans="1:5" s="94" customFormat="1" ht="15" customHeight="1">
      <c r="A254" s="169"/>
      <c r="B254" s="169"/>
      <c r="C254" s="169"/>
      <c r="D254" s="165" t="s">
        <v>217</v>
      </c>
      <c r="E254" s="155">
        <v>100</v>
      </c>
    </row>
    <row r="255" spans="1:5" s="94" customFormat="1" ht="15" customHeight="1">
      <c r="A255" s="170"/>
      <c r="B255" s="170"/>
      <c r="C255" s="170"/>
      <c r="D255" s="165" t="s">
        <v>208</v>
      </c>
      <c r="E255" s="155">
        <v>400</v>
      </c>
    </row>
    <row r="256" spans="1:5" s="94" customFormat="1" ht="21.75" customHeight="1">
      <c r="A256" s="101"/>
      <c r="B256" s="169"/>
      <c r="C256" s="101">
        <v>4300</v>
      </c>
      <c r="D256" s="97" t="s">
        <v>93</v>
      </c>
      <c r="E256" s="148">
        <f>E257+E258+E259</f>
        <v>3000</v>
      </c>
    </row>
    <row r="257" spans="1:5" s="94" customFormat="1" ht="15" customHeight="1">
      <c r="A257" s="170"/>
      <c r="B257" s="170"/>
      <c r="C257" s="170"/>
      <c r="D257" s="165" t="s">
        <v>212</v>
      </c>
      <c r="E257" s="155">
        <v>1200</v>
      </c>
    </row>
    <row r="258" spans="1:5" s="94" customFormat="1" ht="15" customHeight="1">
      <c r="A258" s="170"/>
      <c r="B258" s="170"/>
      <c r="C258" s="170"/>
      <c r="D258" s="165" t="s">
        <v>214</v>
      </c>
      <c r="E258" s="155">
        <v>800</v>
      </c>
    </row>
    <row r="259" spans="1:5" s="94" customFormat="1" ht="15" customHeight="1">
      <c r="A259" s="170"/>
      <c r="B259" s="170"/>
      <c r="C259" s="170"/>
      <c r="D259" s="165" t="s">
        <v>216</v>
      </c>
      <c r="E259" s="155">
        <v>1000</v>
      </c>
    </row>
    <row r="260" spans="1:5" s="75" customFormat="1" ht="21.75" customHeight="1">
      <c r="A260" s="56"/>
      <c r="B260" s="56"/>
      <c r="C260" s="56"/>
      <c r="D260" s="283" t="s">
        <v>81</v>
      </c>
      <c r="E260" s="29">
        <f>E8+E34+E38+E43+E111+E117+E134+E143+E189+E238</f>
        <v>316940</v>
      </c>
    </row>
    <row r="261" spans="1:5" s="94" customFormat="1" ht="15" customHeight="1">
      <c r="A261" s="92"/>
      <c r="B261" s="92"/>
      <c r="C261" s="92"/>
      <c r="D261" s="93"/>
      <c r="E261" s="95"/>
    </row>
    <row r="262" spans="1:5" s="94" customFormat="1" ht="15" customHeight="1">
      <c r="A262" s="268"/>
      <c r="B262" s="268"/>
      <c r="C262" s="268"/>
      <c r="D262" s="269"/>
      <c r="E262" s="270"/>
    </row>
    <row r="263" spans="1:5" s="94" customFormat="1" ht="11.25">
      <c r="A263" s="268"/>
      <c r="B263" s="268"/>
      <c r="C263" s="268"/>
      <c r="D263" s="269"/>
      <c r="E263" s="270"/>
    </row>
    <row r="264" spans="1:5" s="94" customFormat="1" ht="12.75" customHeight="1">
      <c r="A264" s="268"/>
      <c r="B264" s="268"/>
      <c r="C264" s="268"/>
      <c r="D264" s="269"/>
      <c r="E264" s="270"/>
    </row>
    <row r="265" spans="1:5" s="94" customFormat="1" ht="15.75" customHeight="1">
      <c r="A265" s="264"/>
      <c r="B265" s="264"/>
      <c r="C265" s="264"/>
      <c r="D265" s="266"/>
      <c r="E265" s="267"/>
    </row>
    <row r="266" spans="1:5" s="94" customFormat="1" ht="12.75" customHeight="1">
      <c r="A266" s="268"/>
      <c r="B266" s="268"/>
      <c r="C266" s="268"/>
      <c r="D266" s="269"/>
      <c r="E266" s="270"/>
    </row>
    <row r="267" spans="1:5" s="94" customFormat="1" ht="15" customHeight="1">
      <c r="A267" s="265"/>
      <c r="B267" s="264"/>
      <c r="C267" s="265"/>
      <c r="D267" s="271"/>
      <c r="E267" s="267"/>
    </row>
    <row r="268" spans="1:5" s="94" customFormat="1" ht="13.5" customHeight="1">
      <c r="A268" s="268"/>
      <c r="B268" s="268"/>
      <c r="C268" s="268"/>
      <c r="D268" s="269"/>
      <c r="E268" s="270"/>
    </row>
    <row r="269" spans="1:5" s="94" customFormat="1" ht="15" customHeight="1">
      <c r="A269" s="268"/>
      <c r="B269" s="268"/>
      <c r="C269" s="268"/>
      <c r="D269" s="269"/>
      <c r="E269" s="270"/>
    </row>
    <row r="270" spans="1:5" s="94" customFormat="1" ht="15" customHeight="1">
      <c r="A270" s="268"/>
      <c r="B270" s="268"/>
      <c r="C270" s="268"/>
      <c r="D270" s="269"/>
      <c r="E270" s="270"/>
    </row>
    <row r="271" spans="1:5" s="94" customFormat="1" ht="15" customHeight="1">
      <c r="A271" s="268"/>
      <c r="B271" s="268"/>
      <c r="C271" s="268"/>
      <c r="D271" s="269"/>
      <c r="E271" s="270"/>
    </row>
    <row r="272" spans="1:5" s="94" customFormat="1" ht="16.5" customHeight="1">
      <c r="A272" s="265"/>
      <c r="B272" s="265"/>
      <c r="C272" s="265"/>
      <c r="D272" s="197"/>
      <c r="E272" s="263"/>
    </row>
    <row r="273" spans="1:5" ht="12.75">
      <c r="A273" s="261"/>
      <c r="B273" s="261"/>
      <c r="C273" s="261"/>
      <c r="D273" s="262"/>
      <c r="E273" s="272"/>
    </row>
  </sheetData>
  <printOptions horizontalCentered="1"/>
  <pageMargins left="0.984251968503937" right="0.7874015748031497" top="0.7874015748031497" bottom="0.7874015748031497" header="0.5118110236220472" footer="0.31496062992125984"/>
  <pageSetup firstPageNumber="1" useFirstPageNumber="1" horizontalDpi="600" verticalDpi="600" orientation="portrait" paperSize="9" r:id="rId1"/>
  <headerFooter alignWithMargins="0">
    <oddFooter>&amp;C&amp;8Jednostki pomocnicze - 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UM w Trzciance</cp:lastModifiedBy>
  <cp:lastPrinted>2006-02-03T10:04:12Z</cp:lastPrinted>
  <dcterms:created xsi:type="dcterms:W3CDTF">2002-10-21T08:56:44Z</dcterms:created>
  <dcterms:modified xsi:type="dcterms:W3CDTF">2006-02-03T10:04:32Z</dcterms:modified>
  <cp:category/>
  <cp:version/>
  <cp:contentType/>
  <cp:contentStatus/>
</cp:coreProperties>
</file>