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80" windowHeight="7830" activeTab="0"/>
  </bookViews>
  <sheets>
    <sheet name="wyd. I kw.2006 BIP" sheetId="1" r:id="rId1"/>
  </sheets>
  <definedNames>
    <definedName name="_xlnm.Print_Area" localSheetId="0">'wyd. I kw.2006 BIP'!$A$2:$L$292</definedName>
  </definedNames>
  <calcPr fullCalcOnLoad="1"/>
</workbook>
</file>

<file path=xl/comments1.xml><?xml version="1.0" encoding="utf-8"?>
<comments xmlns="http://schemas.openxmlformats.org/spreadsheetml/2006/main">
  <authors>
    <author>UM w Trzciance</author>
  </authors>
  <commentList>
    <comment ref="D13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2.520 SOKRATES
</t>
        </r>
      </text>
    </comment>
    <comment ref="I18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5437,03 -MGOPS
</t>
        </r>
      </text>
    </comment>
  </commentList>
</comments>
</file>

<file path=xl/sharedStrings.xml><?xml version="1.0" encoding="utf-8"?>
<sst xmlns="http://schemas.openxmlformats.org/spreadsheetml/2006/main" count="305" uniqueCount="276">
  <si>
    <t xml:space="preserve">WYKONANIE WYDATKÓW BUDŻETU GMINY TRZCIANKA ZA I KWARTAŁ 2006 ROKU </t>
  </si>
  <si>
    <t>DZIAŁ</t>
  </si>
  <si>
    <t>ZADANIE</t>
  </si>
  <si>
    <t>plan początkowy</t>
  </si>
  <si>
    <t>zmiana
16.03.2006</t>
  </si>
  <si>
    <t>zmiana
30.03.2006</t>
  </si>
  <si>
    <t>plan po zmianach</t>
  </si>
  <si>
    <t>wykonanie 
styczeń</t>
  </si>
  <si>
    <t>wykonanie 
luty</t>
  </si>
  <si>
    <t>wykonanie 
marzec</t>
  </si>
  <si>
    <t>wykonanie za I kwartał</t>
  </si>
  <si>
    <t>%</t>
  </si>
  <si>
    <t>010</t>
  </si>
  <si>
    <t>Rolnictwo i łowiectwo</t>
  </si>
  <si>
    <t>składka do Izby Rolniczej</t>
  </si>
  <si>
    <t>Transport i łączność</t>
  </si>
  <si>
    <t>drogi publiczne gminne</t>
  </si>
  <si>
    <t>wydatki bieżące:</t>
  </si>
  <si>
    <t>remonty cząstkowe dróg gminnych</t>
  </si>
  <si>
    <t>profilowanie dróg gminnych</t>
  </si>
  <si>
    <t>oznakowanie ulic</t>
  </si>
  <si>
    <t>remonty bieżące chodników</t>
  </si>
  <si>
    <t>remonty i utrzymanie przepustów</t>
  </si>
  <si>
    <t>PT drogi Straduń - Smolarnia</t>
  </si>
  <si>
    <t>środki sołeckie</t>
  </si>
  <si>
    <t>wydatki majątkowe:</t>
  </si>
  <si>
    <t>budowa dróg na os. Fałata</t>
  </si>
  <si>
    <t>budowa ulicy Fabrycznej</t>
  </si>
  <si>
    <t>budowa ulicy Rzemieślniczej</t>
  </si>
  <si>
    <t>modernizacja ulicy Wieleńskiej oraz ul. Dąbrowskiego i Wiosny Ludów w ramach współpracy z WZDW w zakresie planowanej przebudowy drogi 178</t>
  </si>
  <si>
    <t>budowa chodnika w Białej 
(środki sołeckie)</t>
  </si>
  <si>
    <t>budowa chodnika w Siedlisku 
(środki sołeckie)</t>
  </si>
  <si>
    <t>bodowa chodnika w Stobnie 
(środki sołeckie)</t>
  </si>
  <si>
    <t>bodowa chodnika na ul. Orzeszkowej</t>
  </si>
  <si>
    <t>rezerwa na budowę chodnika i ścieżki pieszo - rowerowej w Siedlisku w ramach współpracy 
z WZDW</t>
  </si>
  <si>
    <t>równiarka na potrzeby RS Łomnica - gmina</t>
  </si>
  <si>
    <t>równiarka na potrzeby RS Łomnica 
( środki sołeckie)</t>
  </si>
  <si>
    <t>Gospodarka mieszkaniowa</t>
  </si>
  <si>
    <t>różne jednostki obsługi gospodarki mieszkaniowej</t>
  </si>
  <si>
    <t>czynsz - wspólnota ul. Matejki</t>
  </si>
  <si>
    <t xml:space="preserve">czynsze do spółdzielni </t>
  </si>
  <si>
    <t>gospodarka gruntami 
i nieruchomościami</t>
  </si>
  <si>
    <t>opłata za wieczyste użytkowanie gruntów</t>
  </si>
  <si>
    <t>podziały, wyceny, mapy</t>
  </si>
  <si>
    <t>wycena działek rolnych do sprzedaży
 z opisem i mapkami</t>
  </si>
  <si>
    <t xml:space="preserve">podatek od nieruchomości - Dłużewo </t>
  </si>
  <si>
    <t>zajęcie pasa drogowego - refundacja</t>
  </si>
  <si>
    <t>*</t>
  </si>
  <si>
    <t>Towarzystwa budownictwa społecznego</t>
  </si>
  <si>
    <t>remonty budynków komunalnych</t>
  </si>
  <si>
    <t>pozostała działalność</t>
  </si>
  <si>
    <t>wydatki bieżące</t>
  </si>
  <si>
    <t>odszkodowania za niedostarczenie lokali socjalnych</t>
  </si>
  <si>
    <t>opracowanie planu energetycznego</t>
  </si>
  <si>
    <t>wydatki majątkowe</t>
  </si>
  <si>
    <t xml:space="preserve">wykupy gruntów(drogi) po zmianach 
w planie </t>
  </si>
  <si>
    <t>Działalność usługowa</t>
  </si>
  <si>
    <t>plany zagospodarowania 
przestrzennego</t>
  </si>
  <si>
    <t>opracowania zmiany planów zagospodarowania przestrzennego</t>
  </si>
  <si>
    <t>Gminna Komisja Urbanistyczno 
- Architektoniczna</t>
  </si>
  <si>
    <t>cmentarze</t>
  </si>
  <si>
    <t>cmentarz komunalny w Białej 
(nieczystości, woda)</t>
  </si>
  <si>
    <t xml:space="preserve">Administracja publiczna </t>
  </si>
  <si>
    <t>urzędy wojewódzkie - zadania zlecone</t>
  </si>
  <si>
    <t>rady gmin (miast i miast na 
prawach powiatu)</t>
  </si>
  <si>
    <t>urzędy gmin (miasi i miast na 
prawach powiatu)</t>
  </si>
  <si>
    <t>wydatki majątkowe ( sprzęt komputerowy)</t>
  </si>
  <si>
    <t>promocja jednostek samorządu 
terytorialnego</t>
  </si>
  <si>
    <t xml:space="preserve">Urzędy naczelnych organów władzy państwowej, kontroli i ochrony prawa oraz sądownictwa </t>
  </si>
  <si>
    <t>Urzędy naczelnych organów władzy państwowej, kontroli i ochrony prawa - zadania zlecone</t>
  </si>
  <si>
    <t>prowadzenie stałego rejestru 
wyborców w gminie</t>
  </si>
  <si>
    <t>Bezpieczeństwo publiczne i ochrona przeciwpożarowa</t>
  </si>
  <si>
    <t>ochotnicze straże pożarne</t>
  </si>
  <si>
    <t>utrzymanie strażnic OSP</t>
  </si>
  <si>
    <t>budowa strażnicy w Niekursku</t>
  </si>
  <si>
    <t>obrona cywilna - zadania zlecone</t>
  </si>
  <si>
    <t>Straż Miejska</t>
  </si>
  <si>
    <t>składka do Stowarzyszenia 
"Bezpieczna Gmina"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</si>
  <si>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</si>
  <si>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</si>
  <si>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wynagrodzenia agencyjno - prowizyjne</t>
  </si>
  <si>
    <t>materiały biurowe, druki, opłaty pocztowe</t>
  </si>
  <si>
    <t>koszty postępowania sądowego 
i prokuratorskiego</t>
  </si>
  <si>
    <t>Obsługa długu publicznego</t>
  </si>
  <si>
    <t>Obsługo papierów wartościowych, kredytów i pożyczek jednostek samorządu terytorialnego</t>
  </si>
  <si>
    <t>spłata odsetek od zaciągniętych 
pożyczek i kredytów</t>
  </si>
  <si>
    <t>spłata odsetek od prefinansowania</t>
  </si>
  <si>
    <t>Różne rozliczenia 
- rezerwy ogólne i celowe</t>
  </si>
  <si>
    <t>rezerwa ogólna</t>
  </si>
  <si>
    <t>rezerwa celowa, w tym:</t>
  </si>
  <si>
    <t xml:space="preserve">poręczenie kredytu dla TTBS Sp. z o.o. </t>
  </si>
  <si>
    <t>poręczenia pożyczki dla MEC Trzcianka</t>
  </si>
  <si>
    <t>Oświata i wychowanie</t>
  </si>
  <si>
    <t>szkoły podstawowe</t>
  </si>
  <si>
    <t>środki na prowadzenie szkół</t>
  </si>
  <si>
    <t>Szkoła Podstawowa Nr 2</t>
  </si>
  <si>
    <t>Szkoła Filialna w Niekursku</t>
  </si>
  <si>
    <t>Szkoła Filialna w Nowej Wsi</t>
  </si>
  <si>
    <t>Szkoła Filialna w Radolinie</t>
  </si>
  <si>
    <t>Szkoła Fililialna w Stobnie</t>
  </si>
  <si>
    <t>Szkoła Podstawowa Nr 3</t>
  </si>
  <si>
    <t>Szkoła Podstawowa w Białej</t>
  </si>
  <si>
    <t>Szkoła Podstawowa w Łomnicy</t>
  </si>
  <si>
    <t>Szkoła Podstawowa w Przyłękach</t>
  </si>
  <si>
    <t>Szkoła Podstawowa w Rychliku</t>
  </si>
  <si>
    <t>Szkoła Podstawowa w Siedlisku</t>
  </si>
  <si>
    <t>pozostałe środki</t>
  </si>
  <si>
    <t xml:space="preserve">dotacja dla Prywatnej Katolickiej Szkoły Podstawowej </t>
  </si>
  <si>
    <t>remonty szkół podstawowych</t>
  </si>
  <si>
    <t xml:space="preserve">Powiatowy Konkurs Ortograficzny Szkoła Podstawowa Nr 2 - dot. Starostwo </t>
  </si>
  <si>
    <t>Konkurs "Na ludowo zaśpiewajmy" - Szkoła Podstawowa w Białej - dot. Starostwo</t>
  </si>
  <si>
    <t>oddziały przedszkolne w szkołach podstawowych</t>
  </si>
  <si>
    <t xml:space="preserve">środki na prowadzenie oddziałów </t>
  </si>
  <si>
    <t>Oddział przedszkolny Niekursko</t>
  </si>
  <si>
    <t>Oddział przedszkolny Nowa Wieś</t>
  </si>
  <si>
    <t>Oddział przedszkolny Radolin</t>
  </si>
  <si>
    <t>Oddział przedszkolny Stobno</t>
  </si>
  <si>
    <t>Oddział przedszkolny Łomnica</t>
  </si>
  <si>
    <t>Oddział przedszkolny Przyłęki</t>
  </si>
  <si>
    <t>Oddział przedszkolny Rychlik</t>
  </si>
  <si>
    <t>dotacja dla oddziału przedszkolnego w Prywatnej Katolickiej Szkole Podstawowej</t>
  </si>
  <si>
    <t>przedszkola</t>
  </si>
  <si>
    <t>dotacje dla przedszkoli</t>
  </si>
  <si>
    <t>Przedszkole Nr 1</t>
  </si>
  <si>
    <t>Przedszkole Nr 2</t>
  </si>
  <si>
    <t>Przedszkole Nr 3</t>
  </si>
  <si>
    <t>Przedszkole Nr 4</t>
  </si>
  <si>
    <t>Przedszkole w Białej</t>
  </si>
  <si>
    <t>Przedszkole w Siedlisku</t>
  </si>
  <si>
    <t>Przedszkole w Runowie</t>
  </si>
  <si>
    <t xml:space="preserve">pozostałe środki </t>
  </si>
  <si>
    <t>środki sołeckie 500 ujęte w dotacjach</t>
  </si>
  <si>
    <t>remonty przedszkoli</t>
  </si>
  <si>
    <t>gimnazja</t>
  </si>
  <si>
    <t>środki na prowadzenie gimnazjów</t>
  </si>
  <si>
    <t>Gimnazjum Nr 1</t>
  </si>
  <si>
    <t>Gimnazjum Nr 2</t>
  </si>
  <si>
    <t>Gimnazjum w Siedlisku</t>
  </si>
  <si>
    <t>remonty gimnazjów</t>
  </si>
  <si>
    <t>III Powiatowy Konkurs Informatyczny - Gimnazjum Nr 2 - dot. Starostwo</t>
  </si>
  <si>
    <t>VI Powiatowy Konkurs Ortograficzny - Gimnazjum Nr 1 - dot. Starostwo</t>
  </si>
  <si>
    <t>dowożenie uczniów do szkół</t>
  </si>
  <si>
    <t>dokształcanie i doskonalenie nauczycieli</t>
  </si>
  <si>
    <t>pozostała działalność( FŚS nauczycieli)</t>
  </si>
  <si>
    <t>Ochrona zdrowia</t>
  </si>
  <si>
    <t>zwalczenie narkomanii</t>
  </si>
  <si>
    <t>programy profilaktyczne</t>
  </si>
  <si>
    <t>zakup elementów do monitorowania miasta (szkół)</t>
  </si>
  <si>
    <t>przeciwdziałanie alkoholizmowi</t>
  </si>
  <si>
    <t>utrzymanie GKRPA</t>
  </si>
  <si>
    <t>działania profilaktyczna dla osós nietrzeźwych</t>
  </si>
  <si>
    <t>dotacje na prowadzenie świetlic środowiskowych, realizację programów profilaktycznych</t>
  </si>
  <si>
    <t>Caritas Parafii p.w. Św. Jana Chrzciciela 
w Trzciance</t>
  </si>
  <si>
    <t>Olimpiady Specjalne</t>
  </si>
  <si>
    <t>Towarzystwo Przyjaciół Dzieci Koło Przyjaciół Dzieci Niepełnosprawnych</t>
  </si>
  <si>
    <t>Stowarzyszenie "Pomagajmy Dzieciom"</t>
  </si>
  <si>
    <t>środki do podziału - konkurs ofert</t>
  </si>
  <si>
    <t>składka członkowska do Hospicjum</t>
  </si>
  <si>
    <t>Pomoc społeczna - zadania własne</t>
  </si>
  <si>
    <t>Świadczenia rodzinne</t>
  </si>
  <si>
    <t>zasiłki i pomoc w naturze oraz składki na ubezpieczenia emerytalne i rentowe</t>
  </si>
  <si>
    <t>zasiłki jednorazowe - dotacja od Wojewody Wielkopolskiego</t>
  </si>
  <si>
    <t>zasiłki - środki budżetu gminy</t>
  </si>
  <si>
    <t>świadczenia - środki GKRPA</t>
  </si>
  <si>
    <t>dodatki mieszkaniowe</t>
  </si>
  <si>
    <t>ośrodki pomocy społecznej</t>
  </si>
  <si>
    <t>Srodki na prowadzenie MGOPS - dotacja od Wojewody Wielkopolskiego</t>
  </si>
  <si>
    <t>Srodki na prowadzenie MGOPS - środki z budżetu gminy</t>
  </si>
  <si>
    <t>środki na prowadzenie stołówki - środki budżetu gminy</t>
  </si>
  <si>
    <t>Punkt Pomocy Kryzysowej - środki GKRPA</t>
  </si>
  <si>
    <t>Usługi opiekuńcze i specjalistyczne usługi opiekuńcze</t>
  </si>
  <si>
    <t>"Posiłek dla potrzebującego" dotacja od Wojewody Wielkopolskiego</t>
  </si>
  <si>
    <t>składka do Pilskiego Banku Żywności</t>
  </si>
  <si>
    <t>Pomoc społeczna - zadania zlecone</t>
  </si>
  <si>
    <t>Świadczenia rodzinne - dotacja od Wojewody Wielkopolskiego</t>
  </si>
  <si>
    <t>Składki na ubezpieczenia zdrowotne opłacane za osoby pobierające niektóre świadczenia z pomocy społecznje oraz niektóre świadczenia rodzinne</t>
  </si>
  <si>
    <t>Zasiłki i pomoc w naturze oraz składki na ubezpieczenia emerytalne i rentowe</t>
  </si>
  <si>
    <t>Edukacyjna opieka wychowawcza</t>
  </si>
  <si>
    <t>świetlice szkolne</t>
  </si>
  <si>
    <t>Świetlica przy Gimnazjum Nr 1</t>
  </si>
  <si>
    <t>Świetlica przy Gimnazjum Nr 2</t>
  </si>
  <si>
    <t>Świetlica przy Gimnazjum w Siedlisku</t>
  </si>
  <si>
    <t>Świetlica przy Szkole Podstawowej Nr 2</t>
  </si>
  <si>
    <t>Świetlica przy Szkole Podstawowej Nr 3</t>
  </si>
  <si>
    <t>Świetlica przy Szkole Podst. w Białej</t>
  </si>
  <si>
    <t>Świetlica przy Szkole Podst. w Łomnicy</t>
  </si>
  <si>
    <t>Świetlica przy Szkole Podst. w Przyłękach</t>
  </si>
  <si>
    <t>Świetlica przy Szkole Podst. w Rychliku</t>
  </si>
  <si>
    <t>Świetlica przy Szkole Podst. w Siedlisku</t>
  </si>
  <si>
    <t>środki na świetlice</t>
  </si>
  <si>
    <t xml:space="preserve">kolonie i obozy oraz inne formy wypoczynku dzieci i młodzieży szkolnej </t>
  </si>
  <si>
    <t>wypoczynek - środki GKRPA</t>
  </si>
  <si>
    <t>place zabaw - środki GKRPA</t>
  </si>
  <si>
    <t xml:space="preserve">place zabaw - środki gminy </t>
  </si>
  <si>
    <t>pomoc materialna dla uczniów</t>
  </si>
  <si>
    <t>stypendia socjalne</t>
  </si>
  <si>
    <t>dotacja dla Starostwa na halę przy L.O.</t>
  </si>
  <si>
    <t>dotacja dla Starostwa na pokrycie kosztów utrzymania pracowanika ZZN</t>
  </si>
  <si>
    <t>Gospodarka komunalna i ochrona środowiska</t>
  </si>
  <si>
    <t xml:space="preserve">gospodarka ściekowa i ochrona wód </t>
  </si>
  <si>
    <t xml:space="preserve">wydatki bieżące </t>
  </si>
  <si>
    <t>utrzymanie  sieci deszczowych</t>
  </si>
  <si>
    <t>projekty techniczne wodociągów wiejskich (Osiniec, Stobno)</t>
  </si>
  <si>
    <t>budowa kanalizacji sanitarnej i deszczowej oraz rozbudowa oczyszczalni ścieków w gminie Trzcianka - środki własne</t>
  </si>
  <si>
    <t>budowa kanalizacji sanitarnej i deszczowej oraz rozbudowa oczyszczalni ścieków w gminie Trzcianka - ZPORR</t>
  </si>
  <si>
    <t>budowa wodociągu w Osińcu</t>
  </si>
  <si>
    <t>oczyszczanie miast i wsi</t>
  </si>
  <si>
    <t>utrzymanie czystości w mieście</t>
  </si>
  <si>
    <t>utrzymanie zieleni w miastach i gminach</t>
  </si>
  <si>
    <t>stałe utrzymanie i pielęgnacja zieleni</t>
  </si>
  <si>
    <t>prace pielęgnacyjne - zakup materiałów</t>
  </si>
  <si>
    <t>obsadzenia kwiatami</t>
  </si>
  <si>
    <t>prace pielęgnacyjne</t>
  </si>
  <si>
    <t>remont muszli koncertowej</t>
  </si>
  <si>
    <t>ochrona powietrza atmosferycznego i klimatu</t>
  </si>
  <si>
    <t>opłaty na rzecz ochrony środowiska za odprowadzanie odpadów deszczowych</t>
  </si>
  <si>
    <t>schroniska dla zwierząt</t>
  </si>
  <si>
    <t>utrzymanie psów w schronisku w Jędrzejewie</t>
  </si>
  <si>
    <t>oświetlenie ulic, placów i dróg</t>
  </si>
  <si>
    <t>działalność bieżąca</t>
  </si>
  <si>
    <t>oświetlenie ulic i dróg miast i gminy</t>
  </si>
  <si>
    <t>konserwacja oświetlenie</t>
  </si>
  <si>
    <t>ustawienie lampy we wsi Wrząca</t>
  </si>
  <si>
    <t>budowa oświetlenia na ulicach: Ogrodowa, Łąkowa, Łomnicka</t>
  </si>
  <si>
    <t>budowa oświetlenia przy ul. Wieleńskiej</t>
  </si>
  <si>
    <t>budowa oświetlenia w Dłużewie - środki gminy</t>
  </si>
  <si>
    <t>budowa oświetlenia w Dłużewie - środki sołectwa Łomnica</t>
  </si>
  <si>
    <t>budowa oświetlenia Nowa Wieś - sołeckie</t>
  </si>
  <si>
    <t>budowa oświetlenia Niekursko - sołeckie</t>
  </si>
  <si>
    <t>utrzymanie szaletu miejskiego na Placu Pocztowym</t>
  </si>
  <si>
    <t>zakup wody do fontann</t>
  </si>
  <si>
    <t>zakup wody do celów przeciwpożarowych</t>
  </si>
  <si>
    <t>melioracje</t>
  </si>
  <si>
    <t>wykonanie tablic informacyjnych</t>
  </si>
  <si>
    <t>remont pomostu (Stara Plaża)</t>
  </si>
  <si>
    <t>przydotowanie odlewu sarenki</t>
  </si>
  <si>
    <t>Kultura i ochrona dziedzictwa narodowego</t>
  </si>
  <si>
    <t>domy i ośrodki kultury, świetlice i kluby</t>
  </si>
  <si>
    <t>Trzcianecki Dom Kultury</t>
  </si>
  <si>
    <t>Konkurs "PORTRET" - dot.Starostwo</t>
  </si>
  <si>
    <t>Konkurs Twórczości Ludowej i Amatorskiej - dot. Starostwo</t>
  </si>
  <si>
    <t>biblioteki</t>
  </si>
  <si>
    <t>Biblioteka Publiczna Miasta i Gminy -własne</t>
  </si>
  <si>
    <t>Biblioteka Publiczna Miasta i Gminy -Starostwo</t>
  </si>
  <si>
    <t>Muzea</t>
  </si>
  <si>
    <t>Muzeum Ziemi Nadnoteckiej</t>
  </si>
  <si>
    <t>Powiatowy Konkurs "Jajko Wielkanocne" dot. Starostwo</t>
  </si>
  <si>
    <t>"Piknik Muzealny" - dot. Starostwo</t>
  </si>
  <si>
    <t>Konkurs "Ozdoba choinkowa"</t>
  </si>
  <si>
    <t>Kultura fizyczna i sport</t>
  </si>
  <si>
    <t>Instytucje kultury fizycznej</t>
  </si>
  <si>
    <t>środki na udostępnienie obiektów sportowych przez OSIR</t>
  </si>
  <si>
    <t>budowa pomostu na Nowej Plaży</t>
  </si>
  <si>
    <t>zatrudnienie ratowników</t>
  </si>
  <si>
    <t>zadania w zakresie kultury fizycznej i sportu</t>
  </si>
  <si>
    <t>zajęcia pozalekcyjne - GKRPA</t>
  </si>
  <si>
    <t>upowszechnianie kultury fizycznej i sportu:</t>
  </si>
  <si>
    <t>1. dotacje</t>
  </si>
  <si>
    <t>MKS Lubuszanin</t>
  </si>
  <si>
    <t>MKS MDK</t>
  </si>
  <si>
    <t>UKS Dysk przy SP nr 3</t>
  </si>
  <si>
    <t>UKS Kajak przy Gimnazjum Nr 1</t>
  </si>
  <si>
    <t>Sekcja Olimpiad Specjalnych "Olimpijczyk"</t>
  </si>
  <si>
    <t>UKS Fortuna Biała</t>
  </si>
  <si>
    <t>LKS Zuch Rychlik</t>
  </si>
  <si>
    <t>Trzcianeckie Stowarzyszenie LZS</t>
  </si>
  <si>
    <t>ZHP</t>
  </si>
  <si>
    <t>Oddział Olimpiad Specjalnych "Olimpijczyk"</t>
  </si>
  <si>
    <t>PTSS "Sprawni Razem"</t>
  </si>
  <si>
    <t>2. pozostałe wydatki</t>
  </si>
  <si>
    <t>zadania realizowane na mocy porozumienia ze Starostwem Powiatu</t>
  </si>
  <si>
    <t>IV Przełajowy Powiatowy Bieg im. Zielińskiego</t>
  </si>
  <si>
    <t xml:space="preserve">Międzynarodowe Motorowodne Mistrzostwa </t>
  </si>
  <si>
    <t>Turniej Gmin Powiatu w Piłce Nożnej</t>
  </si>
  <si>
    <t>RAZEM</t>
  </si>
  <si>
    <t>Kwota nadwyżki na koniec pierwszego kwartału 2006 r. wynosi  5561305,00 zł.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</si>
</sst>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yyyy/mm/dd"/>
    <numFmt numFmtId="166" formatCode="0.0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6" fontId="0" fillId="0" borderId="0" xfId="0" applyNumberFormat="1" applyAlignment="1">
      <alignment horizontal="right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1" borderId="1" xfId="0" applyFont="1" applyFill="1" applyBorder="1" applyAlignment="1" quotePrefix="1">
      <alignment horizontal="right" vertical="center"/>
    </xf>
    <xf numFmtId="0" fontId="3" fillId="1" borderId="1" xfId="0" applyFont="1" applyFill="1" applyBorder="1" applyAlignment="1">
      <alignment vertical="center"/>
    </xf>
    <xf numFmtId="3" fontId="3" fillId="1" borderId="1" xfId="0" applyNumberFormat="1" applyFont="1" applyFill="1" applyBorder="1" applyAlignment="1">
      <alignment horizontal="right" vertical="center" wrapText="1"/>
    </xf>
    <xf numFmtId="3" fontId="3" fillId="1" borderId="2" xfId="0" applyNumberFormat="1" applyFont="1" applyFill="1" applyBorder="1" applyAlignment="1">
      <alignment horizontal="right" vertical="center" wrapText="1"/>
    </xf>
    <xf numFmtId="3" fontId="3" fillId="1" borderId="1" xfId="0" applyNumberFormat="1" applyFont="1" applyFill="1" applyBorder="1" applyAlignment="1">
      <alignment horizontal="right" vertical="center"/>
    </xf>
    <xf numFmtId="166" fontId="3" fillId="1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 quotePrefix="1">
      <alignment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/>
    </xf>
    <xf numFmtId="166" fontId="5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/>
    </xf>
    <xf numFmtId="166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indent="1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/>
    </xf>
    <xf numFmtId="0" fontId="3" fillId="1" borderId="1" xfId="0" applyFont="1" applyFill="1" applyBorder="1" applyAlignment="1">
      <alignment vertical="center" wrapText="1"/>
    </xf>
    <xf numFmtId="166" fontId="3" fillId="1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166" fontId="1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166" fontId="1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1" borderId="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1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3"/>
  <sheetViews>
    <sheetView tabSelected="1" workbookViewId="0" topLeftCell="A279">
      <selection activeCell="M290" sqref="M290"/>
    </sheetView>
  </sheetViews>
  <sheetFormatPr defaultColWidth="9.00390625" defaultRowHeight="12.75"/>
  <cols>
    <col min="1" max="1" width="7.00390625" style="49" customWidth="1"/>
    <col min="2" max="2" width="35.875" style="67" customWidth="1"/>
    <col min="3" max="3" width="11.00390625" style="68" customWidth="1"/>
    <col min="4" max="5" width="10.125" style="68" hidden="1" customWidth="1"/>
    <col min="6" max="6" width="11.25390625" style="69" customWidth="1"/>
    <col min="7" max="8" width="9.75390625" style="68" hidden="1" customWidth="1"/>
    <col min="9" max="9" width="10.125" style="68" hidden="1" customWidth="1"/>
    <col min="10" max="10" width="10.125" style="70" customWidth="1"/>
    <col min="11" max="11" width="5.00390625" style="1" customWidth="1"/>
  </cols>
  <sheetData>
    <row r="1" ht="12.75"/>
    <row r="2" spans="1:12" ht="12.75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ht="12.75"/>
    <row r="4" spans="1:11" s="7" customFormat="1" ht="34.5" customHeight="1">
      <c r="A4" s="2" t="s">
        <v>1</v>
      </c>
      <c r="B4" s="2" t="s">
        <v>2</v>
      </c>
      <c r="C4" s="3" t="s">
        <v>3</v>
      </c>
      <c r="D4" s="4" t="s">
        <v>4</v>
      </c>
      <c r="E4" s="4" t="s">
        <v>5</v>
      </c>
      <c r="F4" s="5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6" t="s">
        <v>11</v>
      </c>
    </row>
    <row r="5" spans="1:11" s="14" customFormat="1" ht="24.75" customHeight="1">
      <c r="A5" s="8" t="s">
        <v>12</v>
      </c>
      <c r="B5" s="9" t="s">
        <v>13</v>
      </c>
      <c r="C5" s="10">
        <f>SUM(C6)</f>
        <v>7000</v>
      </c>
      <c r="D5" s="11">
        <f>SUM(D6)</f>
        <v>0</v>
      </c>
      <c r="E5" s="11">
        <f>SUM(E6)</f>
        <v>0</v>
      </c>
      <c r="F5" s="12">
        <f aca="true" t="shared" si="0" ref="F5:F16">SUM(C5:E5)</f>
        <v>7000</v>
      </c>
      <c r="G5" s="10">
        <f>SUM(G6)</f>
        <v>0</v>
      </c>
      <c r="H5" s="10">
        <f>SUM(H6)</f>
        <v>0</v>
      </c>
      <c r="I5" s="10">
        <f>SUM(I6)</f>
        <v>231.7</v>
      </c>
      <c r="J5" s="12">
        <f aca="true" t="shared" si="1" ref="J5:J32">SUM(G5:I5)</f>
        <v>231.7</v>
      </c>
      <c r="K5" s="13">
        <f aca="true" t="shared" si="2" ref="K5:K22">J5/F5*100</f>
        <v>3.3099999999999996</v>
      </c>
    </row>
    <row r="6" spans="1:11" s="20" customFormat="1" ht="18" customHeight="1">
      <c r="A6" s="15"/>
      <c r="B6" s="16" t="s">
        <v>14</v>
      </c>
      <c r="C6" s="17">
        <v>7000</v>
      </c>
      <c r="D6" s="17"/>
      <c r="E6" s="17"/>
      <c r="F6" s="18">
        <f t="shared" si="0"/>
        <v>7000</v>
      </c>
      <c r="G6" s="17">
        <v>0</v>
      </c>
      <c r="H6" s="17">
        <v>0</v>
      </c>
      <c r="I6" s="17">
        <v>231.7</v>
      </c>
      <c r="J6" s="18">
        <f t="shared" si="1"/>
        <v>231.7</v>
      </c>
      <c r="K6" s="19">
        <f t="shared" si="2"/>
        <v>3.3099999999999996</v>
      </c>
    </row>
    <row r="7" spans="1:11" s="14" customFormat="1" ht="24.75" customHeight="1">
      <c r="A7" s="9">
        <v>600</v>
      </c>
      <c r="B7" s="9" t="s">
        <v>15</v>
      </c>
      <c r="C7" s="10">
        <f>SUM(C8)</f>
        <v>936510</v>
      </c>
      <c r="D7" s="10">
        <f>SUM(D8)</f>
        <v>15000</v>
      </c>
      <c r="E7" s="10">
        <f>SUM(E8)</f>
        <v>0</v>
      </c>
      <c r="F7" s="12">
        <f t="shared" si="0"/>
        <v>951510</v>
      </c>
      <c r="G7" s="10">
        <f>SUM(G8)</f>
        <v>11166.220000000001</v>
      </c>
      <c r="H7" s="10">
        <f>SUM(H8)</f>
        <v>19272.71</v>
      </c>
      <c r="I7" s="10">
        <f>SUM(I8)</f>
        <v>39853.869999999995</v>
      </c>
      <c r="J7" s="12">
        <f t="shared" si="1"/>
        <v>70292.79999999999</v>
      </c>
      <c r="K7" s="13">
        <f t="shared" si="2"/>
        <v>7.387499868629861</v>
      </c>
    </row>
    <row r="8" spans="1:11" s="25" customFormat="1" ht="18" customHeight="1">
      <c r="A8" s="21">
        <v>60016</v>
      </c>
      <c r="B8" s="21" t="s">
        <v>16</v>
      </c>
      <c r="C8" s="22">
        <f>SUM(C9,C17,)</f>
        <v>936510</v>
      </c>
      <c r="D8" s="22">
        <f>SUM(D9,D17,)</f>
        <v>15000</v>
      </c>
      <c r="E8" s="22">
        <f>SUM(E9,E17,)</f>
        <v>0</v>
      </c>
      <c r="F8" s="23">
        <f t="shared" si="0"/>
        <v>951510</v>
      </c>
      <c r="G8" s="22">
        <f>SUM(G9,G17,)</f>
        <v>11166.220000000001</v>
      </c>
      <c r="H8" s="22">
        <f>SUM(H9,H17,)</f>
        <v>19272.71</v>
      </c>
      <c r="I8" s="22">
        <f>SUM(I9,I17,)</f>
        <v>39853.869999999995</v>
      </c>
      <c r="J8" s="23">
        <f t="shared" si="1"/>
        <v>70292.79999999999</v>
      </c>
      <c r="K8" s="24">
        <f t="shared" si="2"/>
        <v>7.387499868629861</v>
      </c>
    </row>
    <row r="9" spans="1:11" s="25" customFormat="1" ht="18" customHeight="1">
      <c r="A9" s="26"/>
      <c r="B9" s="26" t="s">
        <v>17</v>
      </c>
      <c r="C9" s="27">
        <f>SUM(C10:C16)</f>
        <v>277510</v>
      </c>
      <c r="D9" s="27">
        <f>SUM(D10:D16)</f>
        <v>23000</v>
      </c>
      <c r="E9" s="27">
        <f>SUM(E10:E16)</f>
        <v>0</v>
      </c>
      <c r="F9" s="28">
        <f t="shared" si="0"/>
        <v>300510</v>
      </c>
      <c r="G9" s="27">
        <f>SUM(G10:G16)</f>
        <v>3772</v>
      </c>
      <c r="H9" s="27">
        <f>SUM(H10:H16)</f>
        <v>8478.08</v>
      </c>
      <c r="I9" s="27">
        <f>SUM(I10:I16)</f>
        <v>28873.87</v>
      </c>
      <c r="J9" s="28">
        <f t="shared" si="1"/>
        <v>41123.95</v>
      </c>
      <c r="K9" s="29">
        <f t="shared" si="2"/>
        <v>13.684719310505471</v>
      </c>
    </row>
    <row r="10" spans="1:11" s="20" customFormat="1" ht="18" customHeight="1">
      <c r="A10" s="16"/>
      <c r="B10" s="30" t="s">
        <v>18</v>
      </c>
      <c r="C10" s="17">
        <v>30000</v>
      </c>
      <c r="D10" s="17"/>
      <c r="E10" s="17"/>
      <c r="F10" s="18">
        <f t="shared" si="0"/>
        <v>30000</v>
      </c>
      <c r="G10" s="17"/>
      <c r="H10" s="17"/>
      <c r="I10" s="31"/>
      <c r="J10" s="32">
        <f t="shared" si="1"/>
        <v>0</v>
      </c>
      <c r="K10" s="19">
        <f t="shared" si="2"/>
        <v>0</v>
      </c>
    </row>
    <row r="11" spans="1:11" s="20" customFormat="1" ht="18" customHeight="1">
      <c r="A11" s="16"/>
      <c r="B11" s="30" t="s">
        <v>19</v>
      </c>
      <c r="C11" s="17">
        <v>70000</v>
      </c>
      <c r="D11" s="17"/>
      <c r="E11" s="17"/>
      <c r="F11" s="18">
        <f t="shared" si="0"/>
        <v>70000</v>
      </c>
      <c r="G11" s="17"/>
      <c r="H11" s="17"/>
      <c r="I11" s="31"/>
      <c r="J11" s="32">
        <f t="shared" si="1"/>
        <v>0</v>
      </c>
      <c r="K11" s="19">
        <f t="shared" si="2"/>
        <v>0</v>
      </c>
    </row>
    <row r="12" spans="1:11" s="20" customFormat="1" ht="18" customHeight="1">
      <c r="A12" s="16"/>
      <c r="B12" s="30" t="s">
        <v>20</v>
      </c>
      <c r="C12" s="17">
        <v>45000</v>
      </c>
      <c r="D12" s="17"/>
      <c r="E12" s="17"/>
      <c r="F12" s="18">
        <f t="shared" si="0"/>
        <v>45000</v>
      </c>
      <c r="G12" s="17"/>
      <c r="H12" s="17">
        <v>783.24</v>
      </c>
      <c r="I12" s="31">
        <f>1276.12-1</f>
        <v>1275.12</v>
      </c>
      <c r="J12" s="32">
        <f t="shared" si="1"/>
        <v>2058.3599999999997</v>
      </c>
      <c r="K12" s="19">
        <f t="shared" si="2"/>
        <v>4.574133333333333</v>
      </c>
    </row>
    <row r="13" spans="1:11" s="20" customFormat="1" ht="18" customHeight="1">
      <c r="A13" s="16"/>
      <c r="B13" s="30" t="s">
        <v>21</v>
      </c>
      <c r="C13" s="17">
        <v>7000</v>
      </c>
      <c r="D13" s="17"/>
      <c r="E13" s="17"/>
      <c r="F13" s="18">
        <f t="shared" si="0"/>
        <v>7000</v>
      </c>
      <c r="G13" s="17"/>
      <c r="H13" s="17"/>
      <c r="I13" s="31"/>
      <c r="J13" s="32">
        <f t="shared" si="1"/>
        <v>0</v>
      </c>
      <c r="K13" s="19">
        <f t="shared" si="2"/>
        <v>0</v>
      </c>
    </row>
    <row r="14" spans="1:11" s="20" customFormat="1" ht="18" customHeight="1">
      <c r="A14" s="16"/>
      <c r="B14" s="30" t="s">
        <v>22</v>
      </c>
      <c r="C14" s="17">
        <v>25000</v>
      </c>
      <c r="D14" s="17"/>
      <c r="E14" s="17"/>
      <c r="F14" s="18">
        <f t="shared" si="0"/>
        <v>25000</v>
      </c>
      <c r="G14" s="17">
        <v>829.6</v>
      </c>
      <c r="H14" s="17">
        <v>3068.64</v>
      </c>
      <c r="I14" s="31">
        <v>-680</v>
      </c>
      <c r="J14" s="32">
        <f t="shared" si="1"/>
        <v>3218.24</v>
      </c>
      <c r="K14" s="19">
        <f t="shared" si="2"/>
        <v>12.872959999999999</v>
      </c>
    </row>
    <row r="15" spans="1:11" s="20" customFormat="1" ht="18" customHeight="1">
      <c r="A15" s="16"/>
      <c r="B15" s="30" t="s">
        <v>23</v>
      </c>
      <c r="C15" s="17">
        <v>35000</v>
      </c>
      <c r="D15" s="17"/>
      <c r="E15" s="17"/>
      <c r="F15" s="18">
        <f t="shared" si="0"/>
        <v>35000</v>
      </c>
      <c r="G15" s="17"/>
      <c r="H15" s="17"/>
      <c r="I15" s="31"/>
      <c r="J15" s="32">
        <f t="shared" si="1"/>
        <v>0</v>
      </c>
      <c r="K15" s="19">
        <f t="shared" si="2"/>
        <v>0</v>
      </c>
    </row>
    <row r="16" spans="1:11" s="20" customFormat="1" ht="18" customHeight="1">
      <c r="A16" s="16"/>
      <c r="B16" s="30" t="s">
        <v>24</v>
      </c>
      <c r="C16" s="17">
        <v>65510</v>
      </c>
      <c r="D16" s="17">
        <f>19000+8000-4000</f>
        <v>23000</v>
      </c>
      <c r="E16" s="17"/>
      <c r="F16" s="18">
        <f t="shared" si="0"/>
        <v>88510</v>
      </c>
      <c r="G16" s="17">
        <f>288.8+2439.6+214</f>
        <v>2942.4</v>
      </c>
      <c r="H16" s="17">
        <f>244+1091.4+985.7+1853.7+207.4+244</f>
        <v>4626.2</v>
      </c>
      <c r="I16" s="31">
        <f>1778.7+1000.45+321+214+2964.6+22000</f>
        <v>28278.75</v>
      </c>
      <c r="J16" s="32">
        <f t="shared" si="1"/>
        <v>35847.35</v>
      </c>
      <c r="K16" s="19">
        <f t="shared" si="2"/>
        <v>40.50090385267202</v>
      </c>
    </row>
    <row r="17" spans="1:11" s="25" customFormat="1" ht="18" customHeight="1">
      <c r="A17" s="26"/>
      <c r="B17" s="26" t="s">
        <v>25</v>
      </c>
      <c r="C17" s="27">
        <f aca="true" t="shared" si="3" ref="C17:I17">SUM(C18:C28)</f>
        <v>659000</v>
      </c>
      <c r="D17" s="27">
        <f t="shared" si="3"/>
        <v>-8000</v>
      </c>
      <c r="E17" s="27">
        <f t="shared" si="3"/>
        <v>0</v>
      </c>
      <c r="F17" s="27">
        <f t="shared" si="3"/>
        <v>651000</v>
      </c>
      <c r="G17" s="27">
        <f t="shared" si="3"/>
        <v>7394.22</v>
      </c>
      <c r="H17" s="27">
        <f t="shared" si="3"/>
        <v>10794.63</v>
      </c>
      <c r="I17" s="27">
        <f t="shared" si="3"/>
        <v>10980</v>
      </c>
      <c r="J17" s="28">
        <f t="shared" si="1"/>
        <v>29168.85</v>
      </c>
      <c r="K17" s="29">
        <f t="shared" si="2"/>
        <v>4.480622119815668</v>
      </c>
    </row>
    <row r="18" spans="1:11" s="33" customFormat="1" ht="18" customHeight="1">
      <c r="A18" s="16"/>
      <c r="B18" s="30" t="s">
        <v>26</v>
      </c>
      <c r="C18" s="17">
        <v>220000</v>
      </c>
      <c r="D18" s="17"/>
      <c r="E18" s="17"/>
      <c r="F18" s="18">
        <f aca="true" t="shared" si="4" ref="F18:F32">SUM(C18:E18)</f>
        <v>220000</v>
      </c>
      <c r="G18" s="17">
        <f>7394.22</f>
        <v>7394.22</v>
      </c>
      <c r="H18" s="17">
        <v>10794.63</v>
      </c>
      <c r="I18" s="17"/>
      <c r="J18" s="18">
        <f t="shared" si="1"/>
        <v>18188.85</v>
      </c>
      <c r="K18" s="19">
        <f t="shared" si="2"/>
        <v>8.26765909090909</v>
      </c>
    </row>
    <row r="19" spans="1:11" s="33" customFormat="1" ht="18" customHeight="1">
      <c r="A19" s="16"/>
      <c r="B19" s="30" t="s">
        <v>27</v>
      </c>
      <c r="C19" s="17">
        <v>40000</v>
      </c>
      <c r="D19" s="17"/>
      <c r="E19" s="17"/>
      <c r="F19" s="18">
        <f t="shared" si="4"/>
        <v>40000</v>
      </c>
      <c r="G19" s="17"/>
      <c r="H19" s="17"/>
      <c r="I19" s="17"/>
      <c r="J19" s="18">
        <f t="shared" si="1"/>
        <v>0</v>
      </c>
      <c r="K19" s="19">
        <f t="shared" si="2"/>
        <v>0</v>
      </c>
    </row>
    <row r="20" spans="1:11" s="33" customFormat="1" ht="18" customHeight="1">
      <c r="A20" s="16"/>
      <c r="B20" s="30" t="s">
        <v>28</v>
      </c>
      <c r="C20" s="17">
        <v>70000</v>
      </c>
      <c r="D20" s="17"/>
      <c r="E20" s="17"/>
      <c r="F20" s="18">
        <f t="shared" si="4"/>
        <v>70000</v>
      </c>
      <c r="G20" s="17"/>
      <c r="H20" s="17"/>
      <c r="I20" s="17"/>
      <c r="J20" s="18">
        <f t="shared" si="1"/>
        <v>0</v>
      </c>
      <c r="K20" s="19">
        <f t="shared" si="2"/>
        <v>0</v>
      </c>
    </row>
    <row r="21" spans="1:11" s="33" customFormat="1" ht="48">
      <c r="A21" s="16"/>
      <c r="B21" s="34" t="s">
        <v>29</v>
      </c>
      <c r="C21" s="17">
        <v>190000</v>
      </c>
      <c r="D21" s="17"/>
      <c r="E21" s="17"/>
      <c r="F21" s="18">
        <f t="shared" si="4"/>
        <v>190000</v>
      </c>
      <c r="G21" s="17"/>
      <c r="H21" s="17"/>
      <c r="I21" s="17"/>
      <c r="J21" s="18">
        <f t="shared" si="1"/>
        <v>0</v>
      </c>
      <c r="K21" s="19">
        <f t="shared" si="2"/>
        <v>0</v>
      </c>
    </row>
    <row r="22" spans="1:11" s="33" customFormat="1" ht="24">
      <c r="A22" s="16"/>
      <c r="B22" s="35" t="s">
        <v>30</v>
      </c>
      <c r="C22" s="17">
        <v>31000</v>
      </c>
      <c r="D22" s="17"/>
      <c r="E22" s="17"/>
      <c r="F22" s="18">
        <f t="shared" si="4"/>
        <v>31000</v>
      </c>
      <c r="G22" s="17"/>
      <c r="H22" s="17"/>
      <c r="I22" s="17"/>
      <c r="J22" s="18">
        <f t="shared" si="1"/>
        <v>0</v>
      </c>
      <c r="K22" s="19">
        <f t="shared" si="2"/>
        <v>0</v>
      </c>
    </row>
    <row r="23" spans="1:11" s="33" customFormat="1" ht="24">
      <c r="A23" s="16"/>
      <c r="B23" s="35" t="s">
        <v>31</v>
      </c>
      <c r="C23" s="17">
        <v>19000</v>
      </c>
      <c r="D23" s="17">
        <v>-19000</v>
      </c>
      <c r="E23" s="17"/>
      <c r="F23" s="18">
        <f t="shared" si="4"/>
        <v>0</v>
      </c>
      <c r="G23" s="17"/>
      <c r="H23" s="17"/>
      <c r="I23" s="17"/>
      <c r="J23" s="18">
        <f t="shared" si="1"/>
        <v>0</v>
      </c>
      <c r="K23" s="19">
        <v>0</v>
      </c>
    </row>
    <row r="24" spans="1:11" s="33" customFormat="1" ht="24">
      <c r="A24" s="16"/>
      <c r="B24" s="34" t="s">
        <v>32</v>
      </c>
      <c r="C24" s="17">
        <v>19000</v>
      </c>
      <c r="D24" s="17"/>
      <c r="E24" s="17"/>
      <c r="F24" s="18">
        <f t="shared" si="4"/>
        <v>19000</v>
      </c>
      <c r="G24" s="17"/>
      <c r="H24" s="17"/>
      <c r="I24" s="17"/>
      <c r="J24" s="18">
        <f t="shared" si="1"/>
        <v>0</v>
      </c>
      <c r="K24" s="19">
        <f aca="true" t="shared" si="5" ref="K24:K37">J24/F24*100</f>
        <v>0</v>
      </c>
    </row>
    <row r="25" spans="1:11" s="33" customFormat="1" ht="18" customHeight="1">
      <c r="A25" s="16"/>
      <c r="B25" s="30" t="s">
        <v>33</v>
      </c>
      <c r="C25" s="17">
        <v>20000</v>
      </c>
      <c r="D25" s="17"/>
      <c r="E25" s="17"/>
      <c r="F25" s="18">
        <f t="shared" si="4"/>
        <v>20000</v>
      </c>
      <c r="G25" s="17"/>
      <c r="H25" s="17"/>
      <c r="I25" s="17"/>
      <c r="J25" s="18">
        <f t="shared" si="1"/>
        <v>0</v>
      </c>
      <c r="K25" s="19">
        <f t="shared" si="5"/>
        <v>0</v>
      </c>
    </row>
    <row r="26" spans="1:11" s="33" customFormat="1" ht="48">
      <c r="A26" s="16"/>
      <c r="B26" s="34" t="s">
        <v>34</v>
      </c>
      <c r="C26" s="17">
        <v>50000</v>
      </c>
      <c r="D26" s="17"/>
      <c r="E26" s="17"/>
      <c r="F26" s="18">
        <f t="shared" si="4"/>
        <v>50000</v>
      </c>
      <c r="G26" s="17"/>
      <c r="H26" s="17"/>
      <c r="I26" s="17"/>
      <c r="J26" s="18">
        <f t="shared" si="1"/>
        <v>0</v>
      </c>
      <c r="K26" s="19">
        <f t="shared" si="5"/>
        <v>0</v>
      </c>
    </row>
    <row r="27" spans="1:11" s="33" customFormat="1" ht="18" customHeight="1">
      <c r="A27" s="16"/>
      <c r="B27" s="34" t="s">
        <v>35</v>
      </c>
      <c r="C27" s="17">
        <v>0</v>
      </c>
      <c r="D27" s="17">
        <v>6000</v>
      </c>
      <c r="E27" s="17"/>
      <c r="F27" s="18">
        <f t="shared" si="4"/>
        <v>6000</v>
      </c>
      <c r="G27" s="17">
        <v>0</v>
      </c>
      <c r="H27" s="17">
        <v>0</v>
      </c>
      <c r="I27" s="17">
        <v>5980</v>
      </c>
      <c r="J27" s="18">
        <f t="shared" si="1"/>
        <v>5980</v>
      </c>
      <c r="K27" s="19">
        <f t="shared" si="5"/>
        <v>99.66666666666667</v>
      </c>
    </row>
    <row r="28" spans="1:11" s="33" customFormat="1" ht="24">
      <c r="A28" s="16"/>
      <c r="B28" s="34" t="s">
        <v>36</v>
      </c>
      <c r="C28" s="17">
        <v>0</v>
      </c>
      <c r="D28" s="17">
        <v>5000</v>
      </c>
      <c r="E28" s="17"/>
      <c r="F28" s="18">
        <f t="shared" si="4"/>
        <v>5000</v>
      </c>
      <c r="G28" s="17">
        <v>0</v>
      </c>
      <c r="H28" s="17">
        <v>0</v>
      </c>
      <c r="I28" s="17">
        <v>5000</v>
      </c>
      <c r="J28" s="18">
        <f t="shared" si="1"/>
        <v>5000</v>
      </c>
      <c r="K28" s="19">
        <f t="shared" si="5"/>
        <v>100</v>
      </c>
    </row>
    <row r="29" spans="1:11" s="14" customFormat="1" ht="24.75" customHeight="1">
      <c r="A29" s="9">
        <v>700</v>
      </c>
      <c r="B29" s="9" t="s">
        <v>37</v>
      </c>
      <c r="C29" s="10">
        <f>C30+C33+C39+C41</f>
        <v>392050</v>
      </c>
      <c r="D29" s="10">
        <f>D30+D33+D39+D41</f>
        <v>0</v>
      </c>
      <c r="E29" s="10">
        <f>E30+E33+E39+E41</f>
        <v>0</v>
      </c>
      <c r="F29" s="12">
        <f t="shared" si="4"/>
        <v>392050</v>
      </c>
      <c r="G29" s="10">
        <f>G30+G33+G39+G41</f>
        <v>7702.42</v>
      </c>
      <c r="H29" s="10">
        <f>H30+H33+H39+H41</f>
        <v>2488.93</v>
      </c>
      <c r="I29" s="10">
        <f>I30+I33+I39+I41</f>
        <v>8978.599999999999</v>
      </c>
      <c r="J29" s="12">
        <f t="shared" si="1"/>
        <v>19169.949999999997</v>
      </c>
      <c r="K29" s="13">
        <f t="shared" si="5"/>
        <v>4.889669684989159</v>
      </c>
    </row>
    <row r="30" spans="1:11" s="25" customFormat="1" ht="25.5">
      <c r="A30" s="36">
        <v>70004</v>
      </c>
      <c r="B30" s="37" t="s">
        <v>38</v>
      </c>
      <c r="C30" s="38">
        <f>SUM(C31:C32)</f>
        <v>44000</v>
      </c>
      <c r="D30" s="38">
        <f>SUM(D31:D32)</f>
        <v>0</v>
      </c>
      <c r="E30" s="38">
        <f>SUM(E31:E32)</f>
        <v>0</v>
      </c>
      <c r="F30" s="39">
        <f t="shared" si="4"/>
        <v>44000</v>
      </c>
      <c r="G30" s="38">
        <f>SUM(G31:G32)</f>
        <v>1674.32</v>
      </c>
      <c r="H30" s="38">
        <f>SUM(H31:H32)</f>
        <v>1748.04</v>
      </c>
      <c r="I30" s="38">
        <f>SUM(I31:I32)</f>
        <v>1896</v>
      </c>
      <c r="J30" s="39">
        <f t="shared" si="1"/>
        <v>5318.36</v>
      </c>
      <c r="K30" s="24">
        <f t="shared" si="5"/>
        <v>12.087181818181818</v>
      </c>
    </row>
    <row r="31" spans="1:11" s="33" customFormat="1" ht="18" customHeight="1">
      <c r="A31" s="16"/>
      <c r="B31" s="30" t="s">
        <v>39</v>
      </c>
      <c r="C31" s="17">
        <v>18000</v>
      </c>
      <c r="D31" s="17"/>
      <c r="E31" s="17"/>
      <c r="F31" s="18">
        <f t="shared" si="4"/>
        <v>18000</v>
      </c>
      <c r="G31" s="17">
        <f>1674.32</f>
        <v>1674.32</v>
      </c>
      <c r="H31" s="17">
        <v>1748.04</v>
      </c>
      <c r="I31" s="17">
        <f>1895.49+0.51</f>
        <v>1896</v>
      </c>
      <c r="J31" s="18">
        <f t="shared" si="1"/>
        <v>5318.36</v>
      </c>
      <c r="K31" s="19">
        <f t="shared" si="5"/>
        <v>29.546444444444443</v>
      </c>
    </row>
    <row r="32" spans="1:11" s="33" customFormat="1" ht="18" customHeight="1">
      <c r="A32" s="16"/>
      <c r="B32" s="30" t="s">
        <v>40</v>
      </c>
      <c r="C32" s="17">
        <v>26000</v>
      </c>
      <c r="D32" s="17"/>
      <c r="E32" s="17"/>
      <c r="F32" s="18">
        <f t="shared" si="4"/>
        <v>26000</v>
      </c>
      <c r="G32" s="17"/>
      <c r="H32" s="17"/>
      <c r="I32" s="17"/>
      <c r="J32" s="18">
        <f t="shared" si="1"/>
        <v>0</v>
      </c>
      <c r="K32" s="19">
        <f t="shared" si="5"/>
        <v>0</v>
      </c>
    </row>
    <row r="33" spans="1:11" s="25" customFormat="1" ht="25.5">
      <c r="A33" s="36">
        <v>70005</v>
      </c>
      <c r="B33" s="37" t="s">
        <v>41</v>
      </c>
      <c r="C33" s="38">
        <f aca="true" t="shared" si="6" ref="C33:J33">SUM(C34:C38)</f>
        <v>89750</v>
      </c>
      <c r="D33" s="38">
        <f t="shared" si="6"/>
        <v>0</v>
      </c>
      <c r="E33" s="38">
        <f t="shared" si="6"/>
        <v>0</v>
      </c>
      <c r="F33" s="38">
        <f t="shared" si="6"/>
        <v>89750</v>
      </c>
      <c r="G33" s="38">
        <f t="shared" si="6"/>
        <v>6028.1</v>
      </c>
      <c r="H33" s="38">
        <f t="shared" si="6"/>
        <v>704.94</v>
      </c>
      <c r="I33" s="38">
        <f t="shared" si="6"/>
        <v>6312.599999999999</v>
      </c>
      <c r="J33" s="38">
        <f t="shared" si="6"/>
        <v>13045.640000000001</v>
      </c>
      <c r="K33" s="24">
        <f t="shared" si="5"/>
        <v>14.535532033426184</v>
      </c>
    </row>
    <row r="34" spans="1:11" s="33" customFormat="1" ht="18" customHeight="1">
      <c r="A34" s="16"/>
      <c r="B34" s="30" t="s">
        <v>42</v>
      </c>
      <c r="C34" s="17">
        <v>7750</v>
      </c>
      <c r="D34" s="17"/>
      <c r="E34" s="17">
        <v>-132</v>
      </c>
      <c r="F34" s="18">
        <f aca="true" t="shared" si="7" ref="F34:F65">SUM(C34:E34)</f>
        <v>7618</v>
      </c>
      <c r="G34" s="17"/>
      <c r="H34" s="17">
        <v>33.75</v>
      </c>
      <c r="I34" s="17"/>
      <c r="J34" s="18">
        <f aca="true" t="shared" si="8" ref="J34:J65">SUM(G34:I34)</f>
        <v>33.75</v>
      </c>
      <c r="K34" s="19">
        <f t="shared" si="5"/>
        <v>0.4430296665791546</v>
      </c>
    </row>
    <row r="35" spans="1:11" s="33" customFormat="1" ht="18" customHeight="1">
      <c r="A35" s="16"/>
      <c r="B35" s="30" t="s">
        <v>43</v>
      </c>
      <c r="C35" s="17">
        <v>70000</v>
      </c>
      <c r="D35" s="17"/>
      <c r="E35" s="17"/>
      <c r="F35" s="18">
        <f t="shared" si="7"/>
        <v>70000</v>
      </c>
      <c r="G35" s="17">
        <v>6028.1</v>
      </c>
      <c r="H35" s="17">
        <f>-183+132+282.19+180+18+122+120</f>
        <v>671.19</v>
      </c>
      <c r="I35" s="17">
        <f>200-189+915+122+12+3976.4+406+60+36+6</f>
        <v>5544.4</v>
      </c>
      <c r="J35" s="18">
        <f t="shared" si="8"/>
        <v>12243.69</v>
      </c>
      <c r="K35" s="19">
        <f t="shared" si="5"/>
        <v>17.490985714285713</v>
      </c>
    </row>
    <row r="36" spans="1:11" s="33" customFormat="1" ht="24">
      <c r="A36" s="16"/>
      <c r="B36" s="34" t="s">
        <v>44</v>
      </c>
      <c r="C36" s="17">
        <v>12000</v>
      </c>
      <c r="D36" s="17"/>
      <c r="E36" s="17"/>
      <c r="F36" s="18">
        <f t="shared" si="7"/>
        <v>12000</v>
      </c>
      <c r="G36" s="17"/>
      <c r="H36" s="17"/>
      <c r="I36" s="17"/>
      <c r="J36" s="18">
        <f t="shared" si="8"/>
        <v>0</v>
      </c>
      <c r="K36" s="19">
        <f t="shared" si="5"/>
        <v>0</v>
      </c>
    </row>
    <row r="37" spans="1:11" s="33" customFormat="1" ht="18" customHeight="1">
      <c r="A37" s="16"/>
      <c r="B37" s="34" t="s">
        <v>45</v>
      </c>
      <c r="C37" s="17">
        <v>0</v>
      </c>
      <c r="D37" s="17"/>
      <c r="E37" s="17">
        <v>132</v>
      </c>
      <c r="F37" s="18">
        <f t="shared" si="7"/>
        <v>132</v>
      </c>
      <c r="G37" s="17"/>
      <c r="H37" s="17"/>
      <c r="I37" s="17">
        <v>132</v>
      </c>
      <c r="J37" s="18">
        <f t="shared" si="8"/>
        <v>132</v>
      </c>
      <c r="K37" s="19">
        <f t="shared" si="5"/>
        <v>100</v>
      </c>
    </row>
    <row r="38" spans="1:11" s="33" customFormat="1" ht="18" customHeight="1">
      <c r="A38" s="16"/>
      <c r="B38" s="34" t="s">
        <v>46</v>
      </c>
      <c r="C38" s="17">
        <v>0</v>
      </c>
      <c r="D38" s="17"/>
      <c r="E38" s="17"/>
      <c r="F38" s="18">
        <f t="shared" si="7"/>
        <v>0</v>
      </c>
      <c r="G38" s="17"/>
      <c r="H38" s="17"/>
      <c r="I38" s="17">
        <f>501.6+134.6</f>
        <v>636.2</v>
      </c>
      <c r="J38" s="18">
        <f t="shared" si="8"/>
        <v>636.2</v>
      </c>
      <c r="K38" s="19" t="s">
        <v>47</v>
      </c>
    </row>
    <row r="39" spans="1:11" s="25" customFormat="1" ht="18" customHeight="1">
      <c r="A39" s="36">
        <v>70021</v>
      </c>
      <c r="B39" s="36" t="s">
        <v>48</v>
      </c>
      <c r="C39" s="38">
        <f>SUM(C40)</f>
        <v>100000</v>
      </c>
      <c r="D39" s="38">
        <f>SUM(D40)</f>
        <v>0</v>
      </c>
      <c r="E39" s="38">
        <f>SUM(E40)</f>
        <v>0</v>
      </c>
      <c r="F39" s="39">
        <f t="shared" si="7"/>
        <v>100000</v>
      </c>
      <c r="G39" s="38">
        <f>SUM(G40)</f>
        <v>0</v>
      </c>
      <c r="H39" s="38">
        <f>SUM(H40)</f>
        <v>0</v>
      </c>
      <c r="I39" s="38">
        <f>SUM(I40)</f>
        <v>0</v>
      </c>
      <c r="J39" s="39">
        <f t="shared" si="8"/>
        <v>0</v>
      </c>
      <c r="K39" s="24">
        <f aca="true" t="shared" si="9" ref="K39:K70">J39/F39*100</f>
        <v>0</v>
      </c>
    </row>
    <row r="40" spans="1:11" s="33" customFormat="1" ht="18" customHeight="1">
      <c r="A40" s="16"/>
      <c r="B40" s="16" t="s">
        <v>49</v>
      </c>
      <c r="C40" s="17">
        <v>100000</v>
      </c>
      <c r="D40" s="17"/>
      <c r="E40" s="17"/>
      <c r="F40" s="18">
        <f t="shared" si="7"/>
        <v>100000</v>
      </c>
      <c r="G40" s="17"/>
      <c r="H40" s="17"/>
      <c r="I40" s="17"/>
      <c r="J40" s="18">
        <f t="shared" si="8"/>
        <v>0</v>
      </c>
      <c r="K40" s="19">
        <f t="shared" si="9"/>
        <v>0</v>
      </c>
    </row>
    <row r="41" spans="1:11" s="25" customFormat="1" ht="18" customHeight="1">
      <c r="A41" s="36">
        <v>70095</v>
      </c>
      <c r="B41" s="36" t="s">
        <v>50</v>
      </c>
      <c r="C41" s="38">
        <f>C42+C46</f>
        <v>158300</v>
      </c>
      <c r="D41" s="38">
        <f>D42+D46</f>
        <v>0</v>
      </c>
      <c r="E41" s="38">
        <f>E42+E46</f>
        <v>0</v>
      </c>
      <c r="F41" s="39">
        <f t="shared" si="7"/>
        <v>158300</v>
      </c>
      <c r="G41" s="38">
        <f>G42+G46</f>
        <v>0</v>
      </c>
      <c r="H41" s="38">
        <f>H42+H46</f>
        <v>35.95</v>
      </c>
      <c r="I41" s="38">
        <f>I42+I46</f>
        <v>770</v>
      </c>
      <c r="J41" s="39">
        <f t="shared" si="8"/>
        <v>805.95</v>
      </c>
      <c r="K41" s="24">
        <f t="shared" si="9"/>
        <v>0.5091282375236892</v>
      </c>
    </row>
    <row r="42" spans="1:11" s="25" customFormat="1" ht="18" customHeight="1">
      <c r="A42" s="26"/>
      <c r="B42" s="26" t="s">
        <v>51</v>
      </c>
      <c r="C42" s="27">
        <f>SUM(C43:C45)</f>
        <v>58300</v>
      </c>
      <c r="D42" s="27">
        <f>SUM(D43:D45)</f>
        <v>0</v>
      </c>
      <c r="E42" s="27">
        <f>SUM(E43:E45)</f>
        <v>0</v>
      </c>
      <c r="F42" s="28">
        <f t="shared" si="7"/>
        <v>58300</v>
      </c>
      <c r="G42" s="27">
        <f>SUM(G43:G45)</f>
        <v>0</v>
      </c>
      <c r="H42" s="27">
        <f>SUM(H43:H45)</f>
        <v>35.95</v>
      </c>
      <c r="I42" s="27">
        <f>SUM(I43:I45)</f>
        <v>0</v>
      </c>
      <c r="J42" s="28">
        <f t="shared" si="8"/>
        <v>35.95</v>
      </c>
      <c r="K42" s="29">
        <f t="shared" si="9"/>
        <v>0.06166380789022299</v>
      </c>
    </row>
    <row r="43" spans="1:11" s="33" customFormat="1" ht="24">
      <c r="A43" s="16"/>
      <c r="B43" s="34" t="s">
        <v>52</v>
      </c>
      <c r="C43" s="17">
        <v>30000</v>
      </c>
      <c r="D43" s="17"/>
      <c r="E43" s="17"/>
      <c r="F43" s="18">
        <f t="shared" si="7"/>
        <v>30000</v>
      </c>
      <c r="G43" s="17"/>
      <c r="H43" s="17"/>
      <c r="I43" s="17"/>
      <c r="J43" s="18">
        <f t="shared" si="8"/>
        <v>0</v>
      </c>
      <c r="K43" s="19">
        <f t="shared" si="9"/>
        <v>0</v>
      </c>
    </row>
    <row r="44" spans="1:11" s="33" customFormat="1" ht="18" customHeight="1">
      <c r="A44" s="16"/>
      <c r="B44" s="30" t="s">
        <v>53</v>
      </c>
      <c r="C44" s="17">
        <v>28000</v>
      </c>
      <c r="D44" s="17"/>
      <c r="E44" s="17"/>
      <c r="F44" s="18">
        <f t="shared" si="7"/>
        <v>28000</v>
      </c>
      <c r="G44" s="17"/>
      <c r="H44" s="17"/>
      <c r="I44" s="17"/>
      <c r="J44" s="18">
        <f t="shared" si="8"/>
        <v>0</v>
      </c>
      <c r="K44" s="19">
        <f t="shared" si="9"/>
        <v>0</v>
      </c>
    </row>
    <row r="45" spans="1:11" s="33" customFormat="1" ht="18" customHeight="1">
      <c r="A45" s="16"/>
      <c r="B45" s="30" t="s">
        <v>24</v>
      </c>
      <c r="C45" s="17">
        <v>300</v>
      </c>
      <c r="D45" s="17"/>
      <c r="E45" s="17"/>
      <c r="F45" s="18">
        <f t="shared" si="7"/>
        <v>300</v>
      </c>
      <c r="G45" s="17"/>
      <c r="H45" s="17">
        <v>35.95</v>
      </c>
      <c r="I45" s="17"/>
      <c r="J45" s="18">
        <f t="shared" si="8"/>
        <v>35.95</v>
      </c>
      <c r="K45" s="19">
        <f t="shared" si="9"/>
        <v>11.983333333333334</v>
      </c>
    </row>
    <row r="46" spans="1:11" s="25" customFormat="1" ht="18" customHeight="1">
      <c r="A46" s="26"/>
      <c r="B46" s="26" t="s">
        <v>54</v>
      </c>
      <c r="C46" s="27">
        <f>SUM(C47)</f>
        <v>100000</v>
      </c>
      <c r="D46" s="27">
        <f>SUM(D47)</f>
        <v>0</v>
      </c>
      <c r="E46" s="27">
        <f>SUM(E47)</f>
        <v>0</v>
      </c>
      <c r="F46" s="28">
        <f t="shared" si="7"/>
        <v>100000</v>
      </c>
      <c r="G46" s="27">
        <f>SUM(G47)</f>
        <v>0</v>
      </c>
      <c r="H46" s="27">
        <f>SUM(H47)</f>
        <v>0</v>
      </c>
      <c r="I46" s="27">
        <f>SUM(I47)</f>
        <v>770</v>
      </c>
      <c r="J46" s="28">
        <f t="shared" si="8"/>
        <v>770</v>
      </c>
      <c r="K46" s="29">
        <f t="shared" si="9"/>
        <v>0.77</v>
      </c>
    </row>
    <row r="47" spans="1:11" s="33" customFormat="1" ht="24">
      <c r="A47" s="16"/>
      <c r="B47" s="34" t="s">
        <v>55</v>
      </c>
      <c r="C47" s="17">
        <v>100000</v>
      </c>
      <c r="D47" s="17"/>
      <c r="E47" s="17"/>
      <c r="F47" s="18">
        <f t="shared" si="7"/>
        <v>100000</v>
      </c>
      <c r="G47" s="17"/>
      <c r="H47" s="17"/>
      <c r="I47" s="17">
        <v>770</v>
      </c>
      <c r="J47" s="18">
        <f t="shared" si="8"/>
        <v>770</v>
      </c>
      <c r="K47" s="19">
        <f t="shared" si="9"/>
        <v>0.77</v>
      </c>
    </row>
    <row r="48" spans="1:11" s="14" customFormat="1" ht="24.75" customHeight="1">
      <c r="A48" s="9">
        <v>710</v>
      </c>
      <c r="B48" s="9" t="s">
        <v>56</v>
      </c>
      <c r="C48" s="10">
        <f>C49+C52</f>
        <v>152350</v>
      </c>
      <c r="D48" s="10">
        <f>D49+D52</f>
        <v>0</v>
      </c>
      <c r="E48" s="10">
        <f>E49+E52</f>
        <v>0</v>
      </c>
      <c r="F48" s="12">
        <f t="shared" si="7"/>
        <v>152350</v>
      </c>
      <c r="G48" s="10">
        <f>G49+G52</f>
        <v>29</v>
      </c>
      <c r="H48" s="10">
        <f>H49+H52</f>
        <v>86.08</v>
      </c>
      <c r="I48" s="10">
        <f>I49+I52</f>
        <v>200.5</v>
      </c>
      <c r="J48" s="12">
        <f t="shared" si="8"/>
        <v>315.58</v>
      </c>
      <c r="K48" s="13">
        <f t="shared" si="9"/>
        <v>0.20714145060715455</v>
      </c>
    </row>
    <row r="49" spans="1:11" s="25" customFormat="1" ht="25.5">
      <c r="A49" s="36">
        <v>71004</v>
      </c>
      <c r="B49" s="37" t="s">
        <v>57</v>
      </c>
      <c r="C49" s="38">
        <f>C50+C51</f>
        <v>150000</v>
      </c>
      <c r="D49" s="38">
        <f>D50+D51</f>
        <v>0</v>
      </c>
      <c r="E49" s="38">
        <f>E50+E51</f>
        <v>0</v>
      </c>
      <c r="F49" s="39">
        <f t="shared" si="7"/>
        <v>150000</v>
      </c>
      <c r="G49" s="38">
        <f>G50+G51</f>
        <v>29</v>
      </c>
      <c r="H49" s="38">
        <f>H50+H51</f>
        <v>41.9</v>
      </c>
      <c r="I49" s="38">
        <f>I50+I51</f>
        <v>0</v>
      </c>
      <c r="J49" s="39">
        <f t="shared" si="8"/>
        <v>70.9</v>
      </c>
      <c r="K49" s="24">
        <f t="shared" si="9"/>
        <v>0.04726666666666667</v>
      </c>
    </row>
    <row r="50" spans="1:11" s="20" customFormat="1" ht="24">
      <c r="A50" s="16"/>
      <c r="B50" s="34" t="s">
        <v>58</v>
      </c>
      <c r="C50" s="17">
        <v>145000</v>
      </c>
      <c r="D50" s="17"/>
      <c r="E50" s="17"/>
      <c r="F50" s="18">
        <f t="shared" si="7"/>
        <v>145000</v>
      </c>
      <c r="G50" s="17">
        <v>29</v>
      </c>
      <c r="H50" s="17">
        <v>41.9</v>
      </c>
      <c r="I50" s="17"/>
      <c r="J50" s="18">
        <f t="shared" si="8"/>
        <v>70.9</v>
      </c>
      <c r="K50" s="19">
        <f t="shared" si="9"/>
        <v>0.048896551724137934</v>
      </c>
    </row>
    <row r="51" spans="1:11" s="20" customFormat="1" ht="24">
      <c r="A51" s="16"/>
      <c r="B51" s="34" t="s">
        <v>59</v>
      </c>
      <c r="C51" s="17">
        <v>5000</v>
      </c>
      <c r="D51" s="17"/>
      <c r="E51" s="17"/>
      <c r="F51" s="18">
        <f t="shared" si="7"/>
        <v>5000</v>
      </c>
      <c r="G51" s="17"/>
      <c r="H51" s="17"/>
      <c r="I51" s="17"/>
      <c r="J51" s="18">
        <f t="shared" si="8"/>
        <v>0</v>
      </c>
      <c r="K51" s="19">
        <f t="shared" si="9"/>
        <v>0</v>
      </c>
    </row>
    <row r="52" spans="1:11" s="25" customFormat="1" ht="18" customHeight="1">
      <c r="A52" s="36">
        <v>71035</v>
      </c>
      <c r="B52" s="36" t="s">
        <v>60</v>
      </c>
      <c r="C52" s="38">
        <f>C53+C54</f>
        <v>2350</v>
      </c>
      <c r="D52" s="38">
        <f>D53+D54</f>
        <v>0</v>
      </c>
      <c r="E52" s="38">
        <f>E53+E54</f>
        <v>0</v>
      </c>
      <c r="F52" s="39">
        <f t="shared" si="7"/>
        <v>2350</v>
      </c>
      <c r="G52" s="38">
        <f>G53+G54</f>
        <v>0</v>
      </c>
      <c r="H52" s="38">
        <f>H53+H54</f>
        <v>44.18</v>
      </c>
      <c r="I52" s="38">
        <f>I53+I54</f>
        <v>200.5</v>
      </c>
      <c r="J52" s="39">
        <f t="shared" si="8"/>
        <v>244.68</v>
      </c>
      <c r="K52" s="24">
        <f t="shared" si="9"/>
        <v>10.411914893617022</v>
      </c>
    </row>
    <row r="53" spans="1:11" s="33" customFormat="1" ht="24">
      <c r="A53" s="16"/>
      <c r="B53" s="34" t="s">
        <v>61</v>
      </c>
      <c r="C53" s="17">
        <v>2000</v>
      </c>
      <c r="D53" s="17"/>
      <c r="E53" s="17"/>
      <c r="F53" s="18">
        <f t="shared" si="7"/>
        <v>2000</v>
      </c>
      <c r="G53" s="17"/>
      <c r="H53" s="17"/>
      <c r="I53" s="17">
        <v>200.5</v>
      </c>
      <c r="J53" s="18">
        <f t="shared" si="8"/>
        <v>200.5</v>
      </c>
      <c r="K53" s="19">
        <f t="shared" si="9"/>
        <v>10.025</v>
      </c>
    </row>
    <row r="54" spans="1:11" s="33" customFormat="1" ht="18" customHeight="1">
      <c r="A54" s="16"/>
      <c r="B54" s="30" t="s">
        <v>24</v>
      </c>
      <c r="C54" s="17">
        <v>350</v>
      </c>
      <c r="D54" s="17"/>
      <c r="E54" s="17"/>
      <c r="F54" s="18">
        <f t="shared" si="7"/>
        <v>350</v>
      </c>
      <c r="G54" s="17"/>
      <c r="H54" s="17">
        <v>44.18</v>
      </c>
      <c r="I54" s="17"/>
      <c r="J54" s="18">
        <f t="shared" si="8"/>
        <v>44.18</v>
      </c>
      <c r="K54" s="19">
        <f t="shared" si="9"/>
        <v>12.622857142857145</v>
      </c>
    </row>
    <row r="55" spans="1:11" s="14" customFormat="1" ht="24.75" customHeight="1">
      <c r="A55" s="9">
        <v>750</v>
      </c>
      <c r="B55" s="40" t="s">
        <v>62</v>
      </c>
      <c r="C55" s="10">
        <f>C56+C57+C58+C62</f>
        <v>4293518</v>
      </c>
      <c r="D55" s="10">
        <f>D56+D57+D58+D62</f>
        <v>0</v>
      </c>
      <c r="E55" s="10">
        <f>E56+E57+E58+E62</f>
        <v>0</v>
      </c>
      <c r="F55" s="12">
        <f t="shared" si="7"/>
        <v>4293518</v>
      </c>
      <c r="G55" s="10">
        <f>G56+G57+G58+G62</f>
        <v>0</v>
      </c>
      <c r="H55" s="10">
        <f>H56+H57+H58+H62</f>
        <v>0</v>
      </c>
      <c r="I55" s="10">
        <f>I56+I57+I58+I62</f>
        <v>1062954.94</v>
      </c>
      <c r="J55" s="12">
        <f t="shared" si="8"/>
        <v>1062954.94</v>
      </c>
      <c r="K55" s="13">
        <f t="shared" si="9"/>
        <v>24.7572023687801</v>
      </c>
    </row>
    <row r="56" spans="1:11" s="25" customFormat="1" ht="18" customHeight="1">
      <c r="A56" s="36">
        <v>75011</v>
      </c>
      <c r="B56" s="36" t="s">
        <v>63</v>
      </c>
      <c r="C56" s="38">
        <v>144800</v>
      </c>
      <c r="D56" s="38"/>
      <c r="E56" s="38"/>
      <c r="F56" s="39">
        <f t="shared" si="7"/>
        <v>144800</v>
      </c>
      <c r="G56" s="38"/>
      <c r="H56" s="38"/>
      <c r="I56" s="38">
        <v>37659</v>
      </c>
      <c r="J56" s="39">
        <f t="shared" si="8"/>
        <v>37659</v>
      </c>
      <c r="K56" s="24">
        <f t="shared" si="9"/>
        <v>26.007596685082873</v>
      </c>
    </row>
    <row r="57" spans="1:11" s="25" customFormat="1" ht="25.5">
      <c r="A57" s="36">
        <v>75022</v>
      </c>
      <c r="B57" s="37" t="s">
        <v>64</v>
      </c>
      <c r="C57" s="38">
        <v>227000</v>
      </c>
      <c r="D57" s="38"/>
      <c r="E57" s="38"/>
      <c r="F57" s="39">
        <f t="shared" si="7"/>
        <v>227000</v>
      </c>
      <c r="G57" s="38"/>
      <c r="H57" s="38"/>
      <c r="I57" s="38">
        <v>57297.71</v>
      </c>
      <c r="J57" s="39">
        <f t="shared" si="8"/>
        <v>57297.71</v>
      </c>
      <c r="K57" s="24">
        <f t="shared" si="9"/>
        <v>25.241281938325994</v>
      </c>
    </row>
    <row r="58" spans="1:11" s="25" customFormat="1" ht="25.5">
      <c r="A58" s="36">
        <v>75023</v>
      </c>
      <c r="B58" s="37" t="s">
        <v>65</v>
      </c>
      <c r="C58" s="38">
        <f>C59+C60+C61</f>
        <v>3594480</v>
      </c>
      <c r="D58" s="38">
        <f>D59+D60+D61</f>
        <v>0</v>
      </c>
      <c r="E58" s="38">
        <f>E59+E60+E61</f>
        <v>0</v>
      </c>
      <c r="F58" s="39">
        <f t="shared" si="7"/>
        <v>3594480</v>
      </c>
      <c r="G58" s="38">
        <f>G59+G60+G61</f>
        <v>0</v>
      </c>
      <c r="H58" s="38">
        <f>H59+H60+H61</f>
        <v>0</v>
      </c>
      <c r="I58" s="38">
        <f>I59+I60+I61</f>
        <v>924459.23</v>
      </c>
      <c r="J58" s="39">
        <f t="shared" si="8"/>
        <v>924459.23</v>
      </c>
      <c r="K58" s="24">
        <f t="shared" si="9"/>
        <v>25.718858638801716</v>
      </c>
    </row>
    <row r="59" spans="1:11" s="33" customFormat="1" ht="18" customHeight="1">
      <c r="A59" s="16"/>
      <c r="B59" s="30" t="s">
        <v>51</v>
      </c>
      <c r="C59" s="17">
        <v>3554450</v>
      </c>
      <c r="D59" s="17"/>
      <c r="E59" s="17"/>
      <c r="F59" s="18">
        <f t="shared" si="7"/>
        <v>3554450</v>
      </c>
      <c r="G59" s="17"/>
      <c r="H59" s="17"/>
      <c r="I59" s="17">
        <v>924459.23</v>
      </c>
      <c r="J59" s="18">
        <f t="shared" si="8"/>
        <v>924459.23</v>
      </c>
      <c r="K59" s="19">
        <f t="shared" si="9"/>
        <v>26.00850286260884</v>
      </c>
    </row>
    <row r="60" spans="1:11" s="33" customFormat="1" ht="18" customHeight="1">
      <c r="A60" s="16"/>
      <c r="B60" s="30" t="s">
        <v>66</v>
      </c>
      <c r="C60" s="17">
        <v>30000</v>
      </c>
      <c r="D60" s="17"/>
      <c r="E60" s="17"/>
      <c r="F60" s="18">
        <f t="shared" si="7"/>
        <v>30000</v>
      </c>
      <c r="G60" s="17"/>
      <c r="H60" s="17"/>
      <c r="I60" s="17"/>
      <c r="J60" s="18">
        <f t="shared" si="8"/>
        <v>0</v>
      </c>
      <c r="K60" s="19">
        <f t="shared" si="9"/>
        <v>0</v>
      </c>
    </row>
    <row r="61" spans="1:11" s="33" customFormat="1" ht="18" customHeight="1">
      <c r="A61" s="16"/>
      <c r="B61" s="30" t="s">
        <v>24</v>
      </c>
      <c r="C61" s="17">
        <v>10030</v>
      </c>
      <c r="D61" s="17"/>
      <c r="E61" s="17"/>
      <c r="F61" s="18">
        <f t="shared" si="7"/>
        <v>10030</v>
      </c>
      <c r="G61" s="17"/>
      <c r="H61" s="17"/>
      <c r="I61" s="17"/>
      <c r="J61" s="18">
        <f t="shared" si="8"/>
        <v>0</v>
      </c>
      <c r="K61" s="19">
        <f t="shared" si="9"/>
        <v>0</v>
      </c>
    </row>
    <row r="62" spans="1:11" s="25" customFormat="1" ht="25.5">
      <c r="A62" s="36">
        <v>75075</v>
      </c>
      <c r="B62" s="37" t="s">
        <v>67</v>
      </c>
      <c r="C62" s="38">
        <v>327238</v>
      </c>
      <c r="D62" s="38"/>
      <c r="E62" s="38"/>
      <c r="F62" s="39">
        <f t="shared" si="7"/>
        <v>327238</v>
      </c>
      <c r="G62" s="38"/>
      <c r="H62" s="38"/>
      <c r="I62" s="38">
        <v>43539</v>
      </c>
      <c r="J62" s="39">
        <f t="shared" si="8"/>
        <v>43539</v>
      </c>
      <c r="K62" s="24">
        <f t="shared" si="9"/>
        <v>13.304995141151089</v>
      </c>
    </row>
    <row r="63" spans="1:11" s="14" customFormat="1" ht="42.75">
      <c r="A63" s="9">
        <v>751</v>
      </c>
      <c r="B63" s="40" t="s">
        <v>68</v>
      </c>
      <c r="C63" s="10">
        <f aca="true" t="shared" si="10" ref="C63:E64">C64</f>
        <v>3830</v>
      </c>
      <c r="D63" s="10">
        <f t="shared" si="10"/>
        <v>0</v>
      </c>
      <c r="E63" s="10">
        <f t="shared" si="10"/>
        <v>0</v>
      </c>
      <c r="F63" s="12">
        <f t="shared" si="7"/>
        <v>3830</v>
      </c>
      <c r="G63" s="10">
        <f aca="true" t="shared" si="11" ref="G63:I64">G64</f>
        <v>0</v>
      </c>
      <c r="H63" s="10">
        <f t="shared" si="11"/>
        <v>0</v>
      </c>
      <c r="I63" s="10">
        <f t="shared" si="11"/>
        <v>957</v>
      </c>
      <c r="J63" s="12">
        <f t="shared" si="8"/>
        <v>957</v>
      </c>
      <c r="K63" s="13">
        <f t="shared" si="9"/>
        <v>24.986945169712794</v>
      </c>
    </row>
    <row r="64" spans="1:11" s="25" customFormat="1" ht="38.25">
      <c r="A64" s="36">
        <v>75101</v>
      </c>
      <c r="B64" s="37" t="s">
        <v>69</v>
      </c>
      <c r="C64" s="38">
        <f t="shared" si="10"/>
        <v>3830</v>
      </c>
      <c r="D64" s="38">
        <f t="shared" si="10"/>
        <v>0</v>
      </c>
      <c r="E64" s="38">
        <f t="shared" si="10"/>
        <v>0</v>
      </c>
      <c r="F64" s="39">
        <f t="shared" si="7"/>
        <v>3830</v>
      </c>
      <c r="G64" s="38">
        <f t="shared" si="11"/>
        <v>0</v>
      </c>
      <c r="H64" s="38">
        <f t="shared" si="11"/>
        <v>0</v>
      </c>
      <c r="I64" s="38">
        <f t="shared" si="11"/>
        <v>957</v>
      </c>
      <c r="J64" s="39">
        <f t="shared" si="8"/>
        <v>957</v>
      </c>
      <c r="K64" s="24">
        <f t="shared" si="9"/>
        <v>24.986945169712794</v>
      </c>
    </row>
    <row r="65" spans="1:11" s="33" customFormat="1" ht="24">
      <c r="A65" s="16"/>
      <c r="B65" s="34" t="s">
        <v>70</v>
      </c>
      <c r="C65" s="17">
        <v>3830</v>
      </c>
      <c r="D65" s="17"/>
      <c r="E65" s="17"/>
      <c r="F65" s="18">
        <f t="shared" si="7"/>
        <v>3830</v>
      </c>
      <c r="G65" s="17"/>
      <c r="H65" s="17"/>
      <c r="I65" s="17">
        <v>957</v>
      </c>
      <c r="J65" s="18">
        <f t="shared" si="8"/>
        <v>957</v>
      </c>
      <c r="K65" s="19">
        <f t="shared" si="9"/>
        <v>24.986945169712794</v>
      </c>
    </row>
    <row r="66" spans="1:11" s="14" customFormat="1" ht="28.5">
      <c r="A66" s="9">
        <v>754</v>
      </c>
      <c r="B66" s="40" t="s">
        <v>71</v>
      </c>
      <c r="C66" s="10">
        <f>C67+C73+C74+C75</f>
        <v>306600</v>
      </c>
      <c r="D66" s="10">
        <f>D67+D73+D74+D75</f>
        <v>0</v>
      </c>
      <c r="E66" s="10">
        <f>E67+E73+E74+E75</f>
        <v>0</v>
      </c>
      <c r="F66" s="12">
        <f aca="true" t="shared" si="12" ref="F66:F92">SUM(C66:E66)</f>
        <v>306600</v>
      </c>
      <c r="G66" s="10">
        <f>G67+G73+G74+G75</f>
        <v>0</v>
      </c>
      <c r="H66" s="10">
        <f>H67+H73+H74+H75</f>
        <v>0</v>
      </c>
      <c r="I66" s="10">
        <f>I67+I73+I74+I75</f>
        <v>58591.28</v>
      </c>
      <c r="J66" s="12">
        <f aca="true" t="shared" si="13" ref="J66:J98">SUM(G66:I66)</f>
        <v>58591.28</v>
      </c>
      <c r="K66" s="13">
        <f t="shared" si="9"/>
        <v>19.110006523157207</v>
      </c>
    </row>
    <row r="67" spans="1:11" s="25" customFormat="1" ht="18" customHeight="1">
      <c r="A67" s="36">
        <v>75412</v>
      </c>
      <c r="B67" s="36" t="s">
        <v>72</v>
      </c>
      <c r="C67" s="38">
        <f>C68+C71</f>
        <v>153100</v>
      </c>
      <c r="D67" s="38">
        <f>D68+D71</f>
        <v>0</v>
      </c>
      <c r="E67" s="38">
        <f>E68+E71</f>
        <v>0</v>
      </c>
      <c r="F67" s="39">
        <f t="shared" si="12"/>
        <v>153100</v>
      </c>
      <c r="G67" s="38">
        <f>G68+G71</f>
        <v>0</v>
      </c>
      <c r="H67" s="38">
        <f>H68+H71</f>
        <v>0</v>
      </c>
      <c r="I67" s="38">
        <f>I68+I71</f>
        <v>22953.28</v>
      </c>
      <c r="J67" s="39">
        <f t="shared" si="13"/>
        <v>22953.28</v>
      </c>
      <c r="K67" s="24">
        <f t="shared" si="9"/>
        <v>14.992344872632266</v>
      </c>
    </row>
    <row r="68" spans="1:11" s="25" customFormat="1" ht="18" customHeight="1">
      <c r="A68" s="26"/>
      <c r="B68" s="26" t="s">
        <v>17</v>
      </c>
      <c r="C68" s="27">
        <f>C69+C70</f>
        <v>83100</v>
      </c>
      <c r="D68" s="27">
        <f>D69+D70</f>
        <v>0</v>
      </c>
      <c r="E68" s="27">
        <f>E69+E70</f>
        <v>0</v>
      </c>
      <c r="F68" s="28">
        <f t="shared" si="12"/>
        <v>83100</v>
      </c>
      <c r="G68" s="27">
        <f>G69+G70</f>
        <v>0</v>
      </c>
      <c r="H68" s="27">
        <f>H69+H70</f>
        <v>0</v>
      </c>
      <c r="I68" s="27">
        <f>I69+I70</f>
        <v>22953.28</v>
      </c>
      <c r="J68" s="28">
        <f t="shared" si="13"/>
        <v>22953.28</v>
      </c>
      <c r="K68" s="29">
        <f t="shared" si="9"/>
        <v>27.621275571600478</v>
      </c>
    </row>
    <row r="69" spans="1:11" s="20" customFormat="1" ht="18" customHeight="1">
      <c r="A69" s="16"/>
      <c r="B69" s="30" t="s">
        <v>73</v>
      </c>
      <c r="C69" s="17">
        <v>78100</v>
      </c>
      <c r="D69" s="17"/>
      <c r="E69" s="17"/>
      <c r="F69" s="18">
        <f t="shared" si="12"/>
        <v>78100</v>
      </c>
      <c r="G69" s="17"/>
      <c r="H69" s="17"/>
      <c r="I69" s="17">
        <v>22953.28</v>
      </c>
      <c r="J69" s="18">
        <f t="shared" si="13"/>
        <v>22953.28</v>
      </c>
      <c r="K69" s="19">
        <f t="shared" si="9"/>
        <v>29.389603072983356</v>
      </c>
    </row>
    <row r="70" spans="1:11" s="20" customFormat="1" ht="18" customHeight="1">
      <c r="A70" s="16"/>
      <c r="B70" s="30" t="s">
        <v>24</v>
      </c>
      <c r="C70" s="17">
        <v>5000</v>
      </c>
      <c r="D70" s="17"/>
      <c r="E70" s="17"/>
      <c r="F70" s="18">
        <f t="shared" si="12"/>
        <v>5000</v>
      </c>
      <c r="G70" s="17"/>
      <c r="H70" s="17"/>
      <c r="I70" s="17">
        <v>0</v>
      </c>
      <c r="J70" s="18">
        <f t="shared" si="13"/>
        <v>0</v>
      </c>
      <c r="K70" s="19">
        <f t="shared" si="9"/>
        <v>0</v>
      </c>
    </row>
    <row r="71" spans="1:11" s="25" customFormat="1" ht="18" customHeight="1">
      <c r="A71" s="26"/>
      <c r="B71" s="26" t="s">
        <v>25</v>
      </c>
      <c r="C71" s="27">
        <f>C72</f>
        <v>70000</v>
      </c>
      <c r="D71" s="27">
        <f>D72</f>
        <v>0</v>
      </c>
      <c r="E71" s="27">
        <f>E72</f>
        <v>0</v>
      </c>
      <c r="F71" s="28">
        <f t="shared" si="12"/>
        <v>70000</v>
      </c>
      <c r="G71" s="27">
        <f>G72</f>
        <v>0</v>
      </c>
      <c r="H71" s="27">
        <f>H72</f>
        <v>0</v>
      </c>
      <c r="I71" s="27">
        <f>I72</f>
        <v>0</v>
      </c>
      <c r="J71" s="28">
        <f t="shared" si="13"/>
        <v>0</v>
      </c>
      <c r="K71" s="29">
        <f aca="true" t="shared" si="14" ref="K71:K103">J71/F71*100</f>
        <v>0</v>
      </c>
    </row>
    <row r="72" spans="1:11" s="20" customFormat="1" ht="18" customHeight="1">
      <c r="A72" s="16"/>
      <c r="B72" s="30" t="s">
        <v>74</v>
      </c>
      <c r="C72" s="17">
        <v>70000</v>
      </c>
      <c r="D72" s="17"/>
      <c r="E72" s="17"/>
      <c r="F72" s="18">
        <f t="shared" si="12"/>
        <v>70000</v>
      </c>
      <c r="G72" s="17"/>
      <c r="H72" s="17"/>
      <c r="I72" s="17">
        <v>0</v>
      </c>
      <c r="J72" s="18">
        <f t="shared" si="13"/>
        <v>0</v>
      </c>
      <c r="K72" s="19">
        <f t="shared" si="14"/>
        <v>0</v>
      </c>
    </row>
    <row r="73" spans="1:11" s="25" customFormat="1" ht="18" customHeight="1">
      <c r="A73" s="36">
        <v>75414</v>
      </c>
      <c r="B73" s="36" t="s">
        <v>75</v>
      </c>
      <c r="C73" s="38">
        <v>400</v>
      </c>
      <c r="D73" s="38"/>
      <c r="E73" s="38"/>
      <c r="F73" s="39">
        <f t="shared" si="12"/>
        <v>400</v>
      </c>
      <c r="G73" s="38"/>
      <c r="H73" s="38"/>
      <c r="I73" s="38">
        <v>0</v>
      </c>
      <c r="J73" s="39">
        <f t="shared" si="13"/>
        <v>0</v>
      </c>
      <c r="K73" s="24">
        <f t="shared" si="14"/>
        <v>0</v>
      </c>
    </row>
    <row r="74" spans="1:11" s="25" customFormat="1" ht="18" customHeight="1">
      <c r="A74" s="36">
        <v>75416</v>
      </c>
      <c r="B74" s="36" t="s">
        <v>76</v>
      </c>
      <c r="C74" s="38">
        <v>148100</v>
      </c>
      <c r="D74" s="38"/>
      <c r="E74" s="38"/>
      <c r="F74" s="39">
        <f t="shared" si="12"/>
        <v>148100</v>
      </c>
      <c r="G74" s="38"/>
      <c r="H74" s="38"/>
      <c r="I74" s="38">
        <v>34388</v>
      </c>
      <c r="J74" s="39">
        <f t="shared" si="13"/>
        <v>34388</v>
      </c>
      <c r="K74" s="24">
        <f t="shared" si="14"/>
        <v>23.21944632005402</v>
      </c>
    </row>
    <row r="75" spans="1:11" s="25" customFormat="1" ht="18" customHeight="1">
      <c r="A75" s="36">
        <v>75495</v>
      </c>
      <c r="B75" s="36" t="s">
        <v>50</v>
      </c>
      <c r="C75" s="38">
        <f>C76</f>
        <v>5000</v>
      </c>
      <c r="D75" s="38">
        <f>D76</f>
        <v>0</v>
      </c>
      <c r="E75" s="38">
        <f>E76</f>
        <v>0</v>
      </c>
      <c r="F75" s="39">
        <f t="shared" si="12"/>
        <v>5000</v>
      </c>
      <c r="G75" s="38">
        <f>G76</f>
        <v>0</v>
      </c>
      <c r="H75" s="38">
        <f>H76</f>
        <v>0</v>
      </c>
      <c r="I75" s="38">
        <f>I76</f>
        <v>1250</v>
      </c>
      <c r="J75" s="39">
        <f t="shared" si="13"/>
        <v>1250</v>
      </c>
      <c r="K75" s="24">
        <f t="shared" si="14"/>
        <v>25</v>
      </c>
    </row>
    <row r="76" spans="1:11" s="20" customFormat="1" ht="24">
      <c r="A76" s="16"/>
      <c r="B76" s="35" t="s">
        <v>77</v>
      </c>
      <c r="C76" s="17">
        <v>5000</v>
      </c>
      <c r="D76" s="17"/>
      <c r="E76" s="17"/>
      <c r="F76" s="18">
        <f t="shared" si="12"/>
        <v>5000</v>
      </c>
      <c r="G76" s="17"/>
      <c r="H76" s="17"/>
      <c r="I76" s="17">
        <v>1250</v>
      </c>
      <c r="J76" s="18">
        <f t="shared" si="13"/>
        <v>1250</v>
      </c>
      <c r="K76" s="19">
        <f t="shared" si="14"/>
        <v>25</v>
      </c>
    </row>
    <row r="77" spans="1:11" s="14" customFormat="1" ht="71.25">
      <c r="A77" s="9">
        <v>756</v>
      </c>
      <c r="B77" s="40" t="s">
        <v>78</v>
      </c>
      <c r="C77" s="10">
        <f>SUM(C78)</f>
        <v>73500</v>
      </c>
      <c r="D77" s="10">
        <f aca="true" t="shared" si="15" ref="D77:K77">SUM(D78)</f>
        <v>0</v>
      </c>
      <c r="E77" s="10">
        <f t="shared" si="15"/>
        <v>0</v>
      </c>
      <c r="F77" s="10">
        <f t="shared" si="15"/>
        <v>73500</v>
      </c>
      <c r="G77" s="10">
        <f t="shared" si="15"/>
        <v>0</v>
      </c>
      <c r="H77" s="10">
        <f t="shared" si="15"/>
        <v>0</v>
      </c>
      <c r="I77" s="10">
        <f t="shared" si="15"/>
        <v>11854.2</v>
      </c>
      <c r="J77" s="10">
        <f t="shared" si="15"/>
        <v>11854.2</v>
      </c>
      <c r="K77" s="41">
        <f t="shared" si="15"/>
        <v>41.52893553113554</v>
      </c>
    </row>
    <row r="78" spans="1:11" s="25" customFormat="1" ht="38.25">
      <c r="A78" s="21">
        <v>75647</v>
      </c>
      <c r="B78" s="42" t="s">
        <v>79</v>
      </c>
      <c r="C78" s="22">
        <f>SUM(C79:C81)</f>
        <v>73500</v>
      </c>
      <c r="D78" s="22">
        <f aca="true" t="shared" si="16" ref="D78:K78">SUM(D79:D81)</f>
        <v>0</v>
      </c>
      <c r="E78" s="22">
        <f t="shared" si="16"/>
        <v>0</v>
      </c>
      <c r="F78" s="22">
        <f t="shared" si="16"/>
        <v>73500</v>
      </c>
      <c r="G78" s="22">
        <f t="shared" si="16"/>
        <v>0</v>
      </c>
      <c r="H78" s="22">
        <f t="shared" si="16"/>
        <v>0</v>
      </c>
      <c r="I78" s="22">
        <f t="shared" si="16"/>
        <v>11854.2</v>
      </c>
      <c r="J78" s="22">
        <f t="shared" si="16"/>
        <v>11854.2</v>
      </c>
      <c r="K78" s="43">
        <f t="shared" si="16"/>
        <v>41.52893553113554</v>
      </c>
    </row>
    <row r="79" spans="1:11" s="33" customFormat="1" ht="18" customHeight="1">
      <c r="A79" s="16"/>
      <c r="B79" s="30" t="s">
        <v>80</v>
      </c>
      <c r="C79" s="17">
        <v>35000</v>
      </c>
      <c r="D79" s="17"/>
      <c r="E79" s="17"/>
      <c r="F79" s="18">
        <f t="shared" si="12"/>
        <v>35000</v>
      </c>
      <c r="G79" s="17"/>
      <c r="H79" s="17"/>
      <c r="I79" s="17">
        <v>2487.37</v>
      </c>
      <c r="J79" s="18">
        <f t="shared" si="13"/>
        <v>2487.37</v>
      </c>
      <c r="K79" s="19">
        <f t="shared" si="14"/>
        <v>7.106771428571427</v>
      </c>
    </row>
    <row r="80" spans="1:11" s="33" customFormat="1" ht="18" customHeight="1">
      <c r="A80" s="16"/>
      <c r="B80" s="30" t="s">
        <v>81</v>
      </c>
      <c r="C80" s="17">
        <v>32500</v>
      </c>
      <c r="D80" s="17"/>
      <c r="E80" s="17"/>
      <c r="F80" s="18">
        <f t="shared" si="12"/>
        <v>32500</v>
      </c>
      <c r="G80" s="17"/>
      <c r="H80" s="17"/>
      <c r="I80" s="17">
        <f>4317.51+637.16+4000</f>
        <v>8954.67</v>
      </c>
      <c r="J80" s="18">
        <f t="shared" si="13"/>
        <v>8954.67</v>
      </c>
      <c r="K80" s="19">
        <f t="shared" si="14"/>
        <v>27.55283076923077</v>
      </c>
    </row>
    <row r="81" spans="1:11" s="33" customFormat="1" ht="24">
      <c r="A81" s="16"/>
      <c r="B81" s="34" t="s">
        <v>82</v>
      </c>
      <c r="C81" s="17">
        <v>6000</v>
      </c>
      <c r="D81" s="17"/>
      <c r="E81" s="17"/>
      <c r="F81" s="18">
        <f t="shared" si="12"/>
        <v>6000</v>
      </c>
      <c r="G81" s="17"/>
      <c r="H81" s="17"/>
      <c r="I81" s="17">
        <v>412.16</v>
      </c>
      <c r="J81" s="18">
        <f t="shared" si="13"/>
        <v>412.16</v>
      </c>
      <c r="K81" s="19">
        <f t="shared" si="14"/>
        <v>6.869333333333334</v>
      </c>
    </row>
    <row r="82" spans="1:11" s="25" customFormat="1" ht="24.75" customHeight="1">
      <c r="A82" s="9">
        <v>757</v>
      </c>
      <c r="B82" s="9" t="s">
        <v>83</v>
      </c>
      <c r="C82" s="10">
        <f>C83</f>
        <v>680614</v>
      </c>
      <c r="D82" s="10">
        <f>D83</f>
        <v>0</v>
      </c>
      <c r="E82" s="10">
        <f>E83</f>
        <v>0</v>
      </c>
      <c r="F82" s="12">
        <f t="shared" si="12"/>
        <v>680614</v>
      </c>
      <c r="G82" s="10">
        <f>G83</f>
        <v>0</v>
      </c>
      <c r="H82" s="10">
        <f>H83</f>
        <v>0</v>
      </c>
      <c r="I82" s="10">
        <f>I83</f>
        <v>246436</v>
      </c>
      <c r="J82" s="12">
        <f t="shared" si="13"/>
        <v>246436</v>
      </c>
      <c r="K82" s="13">
        <f t="shared" si="14"/>
        <v>36.20789463631368</v>
      </c>
    </row>
    <row r="83" spans="1:11" s="25" customFormat="1" ht="36">
      <c r="A83" s="26">
        <v>75702</v>
      </c>
      <c r="B83" s="44" t="s">
        <v>84</v>
      </c>
      <c r="C83" s="27">
        <f>C84+C85</f>
        <v>680614</v>
      </c>
      <c r="D83" s="27">
        <f>D84+D85</f>
        <v>0</v>
      </c>
      <c r="E83" s="27">
        <f>E84+E85</f>
        <v>0</v>
      </c>
      <c r="F83" s="28">
        <f t="shared" si="12"/>
        <v>680614</v>
      </c>
      <c r="G83" s="27">
        <f>G84+G85</f>
        <v>0</v>
      </c>
      <c r="H83" s="27">
        <f>H84+H85</f>
        <v>0</v>
      </c>
      <c r="I83" s="27">
        <f>I84+I85</f>
        <v>246436</v>
      </c>
      <c r="J83" s="28">
        <f t="shared" si="13"/>
        <v>246436</v>
      </c>
      <c r="K83" s="29">
        <f t="shared" si="14"/>
        <v>36.20789463631368</v>
      </c>
    </row>
    <row r="84" spans="1:11" s="33" customFormat="1" ht="24">
      <c r="A84" s="16"/>
      <c r="B84" s="34" t="s">
        <v>85</v>
      </c>
      <c r="C84" s="17">
        <v>658614</v>
      </c>
      <c r="D84" s="17"/>
      <c r="E84" s="17"/>
      <c r="F84" s="18">
        <f t="shared" si="12"/>
        <v>658614</v>
      </c>
      <c r="G84" s="17"/>
      <c r="H84" s="17"/>
      <c r="I84" s="17">
        <v>238182</v>
      </c>
      <c r="J84" s="45">
        <f t="shared" si="13"/>
        <v>238182</v>
      </c>
      <c r="K84" s="19">
        <f t="shared" si="14"/>
        <v>36.164126483797794</v>
      </c>
    </row>
    <row r="85" spans="1:11" s="33" customFormat="1" ht="18" customHeight="1">
      <c r="A85" s="16"/>
      <c r="B85" s="30" t="s">
        <v>86</v>
      </c>
      <c r="C85" s="17">
        <v>22000</v>
      </c>
      <c r="D85" s="17"/>
      <c r="E85" s="17"/>
      <c r="F85" s="18">
        <f t="shared" si="12"/>
        <v>22000</v>
      </c>
      <c r="G85" s="17"/>
      <c r="H85" s="17"/>
      <c r="I85" s="17">
        <v>8254</v>
      </c>
      <c r="J85" s="45">
        <f t="shared" si="13"/>
        <v>8254</v>
      </c>
      <c r="K85" s="19">
        <f t="shared" si="14"/>
        <v>37.518181818181816</v>
      </c>
    </row>
    <row r="86" spans="1:11" s="25" customFormat="1" ht="35.25" customHeight="1">
      <c r="A86" s="9">
        <v>758</v>
      </c>
      <c r="B86" s="40" t="s">
        <v>87</v>
      </c>
      <c r="C86" s="10">
        <f>C87+C88</f>
        <v>300000</v>
      </c>
      <c r="D86" s="10">
        <f>D87+D88</f>
        <v>0</v>
      </c>
      <c r="E86" s="10">
        <f>E87+E88</f>
        <v>0</v>
      </c>
      <c r="F86" s="12">
        <f t="shared" si="12"/>
        <v>300000</v>
      </c>
      <c r="G86" s="10">
        <f>G87+G88</f>
        <v>0</v>
      </c>
      <c r="H86" s="10">
        <f>H87+H88</f>
        <v>0</v>
      </c>
      <c r="I86" s="10">
        <f>I87+I88</f>
        <v>0</v>
      </c>
      <c r="J86" s="12">
        <f t="shared" si="13"/>
        <v>0</v>
      </c>
      <c r="K86" s="13">
        <f t="shared" si="14"/>
        <v>0</v>
      </c>
    </row>
    <row r="87" spans="1:11" s="33" customFormat="1" ht="18" customHeight="1">
      <c r="A87" s="16"/>
      <c r="B87" s="16" t="s">
        <v>88</v>
      </c>
      <c r="C87" s="17">
        <v>158429</v>
      </c>
      <c r="D87" s="17"/>
      <c r="E87" s="17"/>
      <c r="F87" s="18">
        <f t="shared" si="12"/>
        <v>158429</v>
      </c>
      <c r="G87" s="17"/>
      <c r="H87" s="17"/>
      <c r="I87" s="17"/>
      <c r="J87" s="18">
        <f t="shared" si="13"/>
        <v>0</v>
      </c>
      <c r="K87" s="19">
        <f t="shared" si="14"/>
        <v>0</v>
      </c>
    </row>
    <row r="88" spans="1:11" s="33" customFormat="1" ht="18" customHeight="1">
      <c r="A88" s="16"/>
      <c r="B88" s="16" t="s">
        <v>89</v>
      </c>
      <c r="C88" s="17">
        <f>C89+C90</f>
        <v>141571</v>
      </c>
      <c r="D88" s="17">
        <f>D89+D90</f>
        <v>0</v>
      </c>
      <c r="E88" s="17">
        <f>E89+E90</f>
        <v>0</v>
      </c>
      <c r="F88" s="18">
        <f t="shared" si="12"/>
        <v>141571</v>
      </c>
      <c r="G88" s="17">
        <f>G89+G90</f>
        <v>0</v>
      </c>
      <c r="H88" s="17">
        <f>H89+H90</f>
        <v>0</v>
      </c>
      <c r="I88" s="17">
        <f>I89+I90</f>
        <v>0</v>
      </c>
      <c r="J88" s="18">
        <f t="shared" si="13"/>
        <v>0</v>
      </c>
      <c r="K88" s="19">
        <f t="shared" si="14"/>
        <v>0</v>
      </c>
    </row>
    <row r="89" spans="1:11" s="33" customFormat="1" ht="18" customHeight="1">
      <c r="A89" s="16"/>
      <c r="B89" s="30" t="s">
        <v>90</v>
      </c>
      <c r="C89" s="17">
        <v>54000</v>
      </c>
      <c r="D89" s="17"/>
      <c r="E89" s="17"/>
      <c r="F89" s="18">
        <f t="shared" si="12"/>
        <v>54000</v>
      </c>
      <c r="G89" s="17"/>
      <c r="H89" s="17"/>
      <c r="I89" s="17"/>
      <c r="J89" s="18">
        <f t="shared" si="13"/>
        <v>0</v>
      </c>
      <c r="K89" s="19">
        <f t="shared" si="14"/>
        <v>0</v>
      </c>
    </row>
    <row r="90" spans="1:11" s="33" customFormat="1" ht="18" customHeight="1">
      <c r="A90" s="16"/>
      <c r="B90" s="30" t="s">
        <v>91</v>
      </c>
      <c r="C90" s="17">
        <v>87571</v>
      </c>
      <c r="D90" s="17"/>
      <c r="E90" s="17"/>
      <c r="F90" s="18">
        <f t="shared" si="12"/>
        <v>87571</v>
      </c>
      <c r="G90" s="17"/>
      <c r="H90" s="17"/>
      <c r="I90" s="17"/>
      <c r="J90" s="18">
        <f t="shared" si="13"/>
        <v>0</v>
      </c>
      <c r="K90" s="19">
        <f t="shared" si="14"/>
        <v>0</v>
      </c>
    </row>
    <row r="91" spans="1:11" s="25" customFormat="1" ht="24.75" customHeight="1">
      <c r="A91" s="9">
        <v>801</v>
      </c>
      <c r="B91" s="9" t="s">
        <v>92</v>
      </c>
      <c r="C91" s="10">
        <f>C92+C111+C123+C135+C145+C146+C147</f>
        <v>16949030</v>
      </c>
      <c r="D91" s="10">
        <f>D92+D111+D123+D135+D145+D146+D147</f>
        <v>36570</v>
      </c>
      <c r="E91" s="10">
        <f>E92+E111+E123+E135+E145+E146+E147</f>
        <v>0</v>
      </c>
      <c r="F91" s="12">
        <f t="shared" si="12"/>
        <v>16985600</v>
      </c>
      <c r="G91" s="10">
        <f>G92+G111+G123+G135+G145+G146+G147</f>
        <v>49805.66</v>
      </c>
      <c r="H91" s="10">
        <f>H92+H111+H123+H135+H145+H146+H147</f>
        <v>52058.94</v>
      </c>
      <c r="I91" s="10">
        <f>I92+I111+I123+I135+I145+I146+I147</f>
        <v>4153712.56</v>
      </c>
      <c r="J91" s="12">
        <f t="shared" si="13"/>
        <v>4255577.16</v>
      </c>
      <c r="K91" s="13">
        <f t="shared" si="14"/>
        <v>25.05402905990957</v>
      </c>
    </row>
    <row r="92" spans="1:11" s="25" customFormat="1" ht="18" customHeight="1">
      <c r="A92" s="36">
        <v>80101</v>
      </c>
      <c r="B92" s="36" t="s">
        <v>93</v>
      </c>
      <c r="C92" s="38">
        <f>C93+C106+C107+C108+C109+C110</f>
        <v>9064679</v>
      </c>
      <c r="D92" s="38">
        <f>D93+D106+D107+D108+D109+D110</f>
        <v>18128</v>
      </c>
      <c r="E92" s="38">
        <f>E93+E106+E107+E108+E109+E110</f>
        <v>0</v>
      </c>
      <c r="F92" s="39">
        <f t="shared" si="12"/>
        <v>9082807</v>
      </c>
      <c r="G92" s="38">
        <f>G93+G106+G107+G108+G109+G110</f>
        <v>22922.4</v>
      </c>
      <c r="H92" s="38">
        <f>H93+H106+H107+H108+H109+H110</f>
        <v>17619</v>
      </c>
      <c r="I92" s="38">
        <f>I93+I106+I107+I108+I109+I110</f>
        <v>2271019.85</v>
      </c>
      <c r="J92" s="39">
        <f t="shared" si="13"/>
        <v>2311561.25</v>
      </c>
      <c r="K92" s="24">
        <f t="shared" si="14"/>
        <v>25.44985542465011</v>
      </c>
    </row>
    <row r="93" spans="1:11" s="25" customFormat="1" ht="18" customHeight="1">
      <c r="A93" s="26"/>
      <c r="B93" s="26" t="s">
        <v>94</v>
      </c>
      <c r="C93" s="27">
        <f aca="true" t="shared" si="17" ref="C93:I93">SUM(C94:C105)</f>
        <v>8779251</v>
      </c>
      <c r="D93" s="27">
        <f t="shared" si="17"/>
        <v>17528</v>
      </c>
      <c r="E93" s="27">
        <f t="shared" si="17"/>
        <v>0</v>
      </c>
      <c r="F93" s="27">
        <f t="shared" si="17"/>
        <v>8796779</v>
      </c>
      <c r="G93" s="27">
        <f t="shared" si="17"/>
        <v>0</v>
      </c>
      <c r="H93" s="27">
        <f t="shared" si="17"/>
        <v>0</v>
      </c>
      <c r="I93" s="27">
        <f t="shared" si="17"/>
        <v>2244880.5500000003</v>
      </c>
      <c r="J93" s="28">
        <f t="shared" si="13"/>
        <v>2244880.5500000003</v>
      </c>
      <c r="K93" s="29">
        <f t="shared" si="14"/>
        <v>25.51934691095457</v>
      </c>
    </row>
    <row r="94" spans="1:11" s="33" customFormat="1" ht="18" customHeight="1">
      <c r="A94" s="16"/>
      <c r="B94" s="16" t="s">
        <v>95</v>
      </c>
      <c r="C94" s="17">
        <v>2640722</v>
      </c>
      <c r="D94" s="17">
        <v>-7210</v>
      </c>
      <c r="E94" s="17"/>
      <c r="F94" s="18">
        <f aca="true" t="shared" si="18" ref="F94:F111">SUM(C94:E94)</f>
        <v>2633512</v>
      </c>
      <c r="G94" s="17"/>
      <c r="H94" s="17"/>
      <c r="I94" s="17">
        <f>674891.47</f>
        <v>674891.47</v>
      </c>
      <c r="J94" s="18">
        <f t="shared" si="13"/>
        <v>674891.47</v>
      </c>
      <c r="K94" s="19">
        <f t="shared" si="14"/>
        <v>25.627051253231425</v>
      </c>
    </row>
    <row r="95" spans="1:11" s="33" customFormat="1" ht="18" customHeight="1">
      <c r="A95" s="16"/>
      <c r="B95" s="16" t="s">
        <v>96</v>
      </c>
      <c r="C95" s="17">
        <v>183175</v>
      </c>
      <c r="D95" s="17">
        <v>-468</v>
      </c>
      <c r="E95" s="17"/>
      <c r="F95" s="18">
        <f t="shared" si="18"/>
        <v>182707</v>
      </c>
      <c r="G95" s="17"/>
      <c r="H95" s="17"/>
      <c r="I95" s="17">
        <v>35505.12</v>
      </c>
      <c r="J95" s="18">
        <f t="shared" si="13"/>
        <v>35505.12</v>
      </c>
      <c r="K95" s="19">
        <f t="shared" si="14"/>
        <v>19.432818665951498</v>
      </c>
    </row>
    <row r="96" spans="1:11" s="33" customFormat="1" ht="18" customHeight="1">
      <c r="A96" s="16"/>
      <c r="B96" s="16" t="s">
        <v>97</v>
      </c>
      <c r="C96" s="17">
        <v>139420</v>
      </c>
      <c r="D96" s="17">
        <v>-807</v>
      </c>
      <c r="E96" s="17"/>
      <c r="F96" s="18">
        <f t="shared" si="18"/>
        <v>138613</v>
      </c>
      <c r="G96" s="17"/>
      <c r="H96" s="17"/>
      <c r="I96" s="17">
        <v>34588.16</v>
      </c>
      <c r="J96" s="18">
        <f t="shared" si="13"/>
        <v>34588.16</v>
      </c>
      <c r="K96" s="19">
        <f t="shared" si="14"/>
        <v>24.953041922474807</v>
      </c>
    </row>
    <row r="97" spans="1:11" s="33" customFormat="1" ht="18" customHeight="1">
      <c r="A97" s="16"/>
      <c r="B97" s="16" t="s">
        <v>98</v>
      </c>
      <c r="C97" s="17">
        <v>113191</v>
      </c>
      <c r="D97" s="17">
        <v>-573</v>
      </c>
      <c r="E97" s="17"/>
      <c r="F97" s="18">
        <f t="shared" si="18"/>
        <v>112618</v>
      </c>
      <c r="G97" s="17"/>
      <c r="H97" s="17"/>
      <c r="I97" s="17">
        <v>29410.46</v>
      </c>
      <c r="J97" s="18">
        <f t="shared" si="13"/>
        <v>29410.46</v>
      </c>
      <c r="K97" s="19">
        <f t="shared" si="14"/>
        <v>26.115239126960166</v>
      </c>
    </row>
    <row r="98" spans="1:11" s="33" customFormat="1" ht="18" customHeight="1">
      <c r="A98" s="16"/>
      <c r="B98" s="16" t="s">
        <v>99</v>
      </c>
      <c r="C98" s="17">
        <v>174930</v>
      </c>
      <c r="D98" s="17">
        <v>-785</v>
      </c>
      <c r="E98" s="17"/>
      <c r="F98" s="18">
        <f t="shared" si="18"/>
        <v>174145</v>
      </c>
      <c r="G98" s="17"/>
      <c r="H98" s="17"/>
      <c r="I98" s="17">
        <v>42631.25</v>
      </c>
      <c r="J98" s="18">
        <f t="shared" si="13"/>
        <v>42631.25</v>
      </c>
      <c r="K98" s="19">
        <f t="shared" si="14"/>
        <v>24.48031812569985</v>
      </c>
    </row>
    <row r="99" spans="1:11" s="33" customFormat="1" ht="18" customHeight="1">
      <c r="A99" s="16"/>
      <c r="B99" s="16" t="s">
        <v>100</v>
      </c>
      <c r="C99" s="17">
        <v>2763177</v>
      </c>
      <c r="D99" s="17">
        <v>-3911</v>
      </c>
      <c r="E99" s="17"/>
      <c r="F99" s="18">
        <f t="shared" si="18"/>
        <v>2759266</v>
      </c>
      <c r="G99" s="17"/>
      <c r="H99" s="17"/>
      <c r="I99" s="17">
        <v>701111.31</v>
      </c>
      <c r="J99" s="18">
        <f aca="true" t="shared" si="19" ref="J99:J130">SUM(G99:I99)</f>
        <v>701111.31</v>
      </c>
      <c r="K99" s="19">
        <f t="shared" si="14"/>
        <v>25.409341107381454</v>
      </c>
    </row>
    <row r="100" spans="1:11" s="33" customFormat="1" ht="18" customHeight="1">
      <c r="A100" s="16"/>
      <c r="B100" s="16" t="s">
        <v>101</v>
      </c>
      <c r="C100" s="17">
        <v>478792</v>
      </c>
      <c r="D100" s="17">
        <v>-2657</v>
      </c>
      <c r="E100" s="17"/>
      <c r="F100" s="18">
        <f t="shared" si="18"/>
        <v>476135</v>
      </c>
      <c r="G100" s="17"/>
      <c r="H100" s="17"/>
      <c r="I100" s="17">
        <v>132335.14</v>
      </c>
      <c r="J100" s="18">
        <f t="shared" si="19"/>
        <v>132335.14</v>
      </c>
      <c r="K100" s="19">
        <f t="shared" si="14"/>
        <v>27.793617356422022</v>
      </c>
    </row>
    <row r="101" spans="1:11" s="33" customFormat="1" ht="18" customHeight="1">
      <c r="A101" s="16"/>
      <c r="B101" s="16" t="s">
        <v>102</v>
      </c>
      <c r="C101" s="17">
        <v>600665</v>
      </c>
      <c r="D101" s="17">
        <v>-3740</v>
      </c>
      <c r="E101" s="17"/>
      <c r="F101" s="18">
        <f t="shared" si="18"/>
        <v>596925</v>
      </c>
      <c r="G101" s="17"/>
      <c r="H101" s="17"/>
      <c r="I101" s="17">
        <v>155674.58</v>
      </c>
      <c r="J101" s="18">
        <f t="shared" si="19"/>
        <v>155674.58</v>
      </c>
      <c r="K101" s="19">
        <f t="shared" si="14"/>
        <v>26.07942036269213</v>
      </c>
    </row>
    <row r="102" spans="1:11" s="33" customFormat="1" ht="18" customHeight="1">
      <c r="A102" s="16"/>
      <c r="B102" s="16" t="s">
        <v>103</v>
      </c>
      <c r="C102" s="17">
        <v>548559</v>
      </c>
      <c r="D102" s="17">
        <v>-2243</v>
      </c>
      <c r="E102" s="17"/>
      <c r="F102" s="18">
        <f t="shared" si="18"/>
        <v>546316</v>
      </c>
      <c r="G102" s="17"/>
      <c r="H102" s="17"/>
      <c r="I102" s="17">
        <v>138199.16</v>
      </c>
      <c r="J102" s="18">
        <f t="shared" si="19"/>
        <v>138199.16</v>
      </c>
      <c r="K102" s="19">
        <f t="shared" si="14"/>
        <v>25.29656096471639</v>
      </c>
    </row>
    <row r="103" spans="1:11" s="33" customFormat="1" ht="18" customHeight="1">
      <c r="A103" s="16"/>
      <c r="B103" s="16" t="s">
        <v>104</v>
      </c>
      <c r="C103" s="17">
        <v>344133</v>
      </c>
      <c r="D103" s="17">
        <v>183</v>
      </c>
      <c r="E103" s="17"/>
      <c r="F103" s="18">
        <f t="shared" si="18"/>
        <v>344316</v>
      </c>
      <c r="G103" s="17"/>
      <c r="H103" s="17"/>
      <c r="I103" s="17">
        <v>96012.24</v>
      </c>
      <c r="J103" s="18">
        <f t="shared" si="19"/>
        <v>96012.24</v>
      </c>
      <c r="K103" s="19">
        <f t="shared" si="14"/>
        <v>27.88491966681769</v>
      </c>
    </row>
    <row r="104" spans="1:11" s="33" customFormat="1" ht="18" customHeight="1">
      <c r="A104" s="16"/>
      <c r="B104" s="16" t="s">
        <v>105</v>
      </c>
      <c r="C104" s="17">
        <v>792487</v>
      </c>
      <c r="D104" s="17">
        <v>-314</v>
      </c>
      <c r="E104" s="17"/>
      <c r="F104" s="18">
        <f t="shared" si="18"/>
        <v>792173</v>
      </c>
      <c r="G104" s="17"/>
      <c r="H104" s="17"/>
      <c r="I104" s="17">
        <v>204521.66</v>
      </c>
      <c r="J104" s="18">
        <f t="shared" si="19"/>
        <v>204521.66</v>
      </c>
      <c r="K104" s="19">
        <f aca="true" t="shared" si="20" ref="K104:K119">J104/F104*100</f>
        <v>25.817802424470415</v>
      </c>
    </row>
    <row r="105" spans="1:11" s="47" customFormat="1" ht="18" customHeight="1">
      <c r="A105" s="46"/>
      <c r="B105" s="46" t="s">
        <v>106</v>
      </c>
      <c r="C105" s="31">
        <v>0</v>
      </c>
      <c r="D105" s="31">
        <v>40053</v>
      </c>
      <c r="E105" s="31"/>
      <c r="F105" s="32">
        <f t="shared" si="18"/>
        <v>40053</v>
      </c>
      <c r="G105" s="31"/>
      <c r="H105" s="31"/>
      <c r="I105" s="31"/>
      <c r="J105" s="32">
        <f t="shared" si="19"/>
        <v>0</v>
      </c>
      <c r="K105" s="19">
        <f t="shared" si="20"/>
        <v>0</v>
      </c>
    </row>
    <row r="106" spans="1:11" s="25" customFormat="1" ht="24">
      <c r="A106" s="26"/>
      <c r="B106" s="44" t="s">
        <v>107</v>
      </c>
      <c r="C106" s="27">
        <v>211428</v>
      </c>
      <c r="D106" s="27"/>
      <c r="E106" s="27"/>
      <c r="F106" s="28">
        <f t="shared" si="18"/>
        <v>211428</v>
      </c>
      <c r="G106" s="27">
        <v>17619</v>
      </c>
      <c r="H106" s="27">
        <v>17619</v>
      </c>
      <c r="I106" s="27">
        <v>17619</v>
      </c>
      <c r="J106" s="28">
        <f t="shared" si="19"/>
        <v>52857</v>
      </c>
      <c r="K106" s="29">
        <f t="shared" si="20"/>
        <v>25</v>
      </c>
    </row>
    <row r="107" spans="1:11" s="25" customFormat="1" ht="18" customHeight="1">
      <c r="A107" s="26"/>
      <c r="B107" s="26" t="s">
        <v>24</v>
      </c>
      <c r="C107" s="27">
        <v>4000</v>
      </c>
      <c r="D107" s="27"/>
      <c r="E107" s="27"/>
      <c r="F107" s="28">
        <f t="shared" si="18"/>
        <v>4000</v>
      </c>
      <c r="G107" s="27"/>
      <c r="H107" s="27"/>
      <c r="I107" s="27"/>
      <c r="J107" s="28">
        <f t="shared" si="19"/>
        <v>0</v>
      </c>
      <c r="K107" s="29">
        <f t="shared" si="20"/>
        <v>0</v>
      </c>
    </row>
    <row r="108" spans="1:11" s="25" customFormat="1" ht="18" customHeight="1">
      <c r="A108" s="26"/>
      <c r="B108" s="26" t="s">
        <v>108</v>
      </c>
      <c r="C108" s="27">
        <v>70000</v>
      </c>
      <c r="D108" s="27"/>
      <c r="E108" s="27"/>
      <c r="F108" s="28">
        <f t="shared" si="18"/>
        <v>70000</v>
      </c>
      <c r="G108" s="27">
        <f>2900+2403.4</f>
        <v>5303.4</v>
      </c>
      <c r="H108" s="27"/>
      <c r="I108" s="27">
        <f>8268.13+252.17</f>
        <v>8520.3</v>
      </c>
      <c r="J108" s="28">
        <f t="shared" si="19"/>
        <v>13823.699999999999</v>
      </c>
      <c r="K108" s="29">
        <f t="shared" si="20"/>
        <v>19.748142857142856</v>
      </c>
    </row>
    <row r="109" spans="1:11" s="25" customFormat="1" ht="24">
      <c r="A109" s="26"/>
      <c r="B109" s="44" t="s">
        <v>109</v>
      </c>
      <c r="C109" s="27">
        <v>0</v>
      </c>
      <c r="D109" s="27">
        <v>300</v>
      </c>
      <c r="E109" s="27"/>
      <c r="F109" s="28">
        <f t="shared" si="18"/>
        <v>300</v>
      </c>
      <c r="G109" s="27">
        <v>0</v>
      </c>
      <c r="H109" s="27">
        <v>0</v>
      </c>
      <c r="I109" s="27">
        <v>0</v>
      </c>
      <c r="J109" s="28">
        <f t="shared" si="19"/>
        <v>0</v>
      </c>
      <c r="K109" s="29">
        <f t="shared" si="20"/>
        <v>0</v>
      </c>
    </row>
    <row r="110" spans="1:11" s="25" customFormat="1" ht="24">
      <c r="A110" s="26"/>
      <c r="B110" s="44" t="s">
        <v>110</v>
      </c>
      <c r="C110" s="27">
        <v>0</v>
      </c>
      <c r="D110" s="27">
        <v>300</v>
      </c>
      <c r="E110" s="27"/>
      <c r="F110" s="28">
        <f t="shared" si="18"/>
        <v>300</v>
      </c>
      <c r="G110" s="27">
        <v>0</v>
      </c>
      <c r="H110" s="27">
        <v>0</v>
      </c>
      <c r="I110" s="27">
        <v>0</v>
      </c>
      <c r="J110" s="28">
        <f t="shared" si="19"/>
        <v>0</v>
      </c>
      <c r="K110" s="29">
        <f t="shared" si="20"/>
        <v>0</v>
      </c>
    </row>
    <row r="111" spans="1:11" s="25" customFormat="1" ht="25.5">
      <c r="A111" s="36">
        <v>80103</v>
      </c>
      <c r="B111" s="37" t="s">
        <v>111</v>
      </c>
      <c r="C111" s="38">
        <f>C112+C121+C122</f>
        <v>361579</v>
      </c>
      <c r="D111" s="38">
        <f>D112+D121+D122</f>
        <v>-2929</v>
      </c>
      <c r="E111" s="38">
        <f>E112+E121+E122</f>
        <v>0</v>
      </c>
      <c r="F111" s="39">
        <f t="shared" si="18"/>
        <v>358650</v>
      </c>
      <c r="G111" s="38">
        <f>G112+G121+G122</f>
        <v>5710</v>
      </c>
      <c r="H111" s="38">
        <f>H112+H121+H122</f>
        <v>5710</v>
      </c>
      <c r="I111" s="38">
        <f>I112+I121+I122</f>
        <v>74221.81000000001</v>
      </c>
      <c r="J111" s="39">
        <f t="shared" si="19"/>
        <v>85641.81000000001</v>
      </c>
      <c r="K111" s="24">
        <f t="shared" si="20"/>
        <v>23.87893768297784</v>
      </c>
    </row>
    <row r="112" spans="1:11" s="25" customFormat="1" ht="18" customHeight="1">
      <c r="A112" s="26"/>
      <c r="B112" s="26" t="s">
        <v>112</v>
      </c>
      <c r="C112" s="27">
        <f aca="true" t="shared" si="21" ref="C112:I112">SUM(C113:C120)</f>
        <v>291999</v>
      </c>
      <c r="D112" s="27">
        <f t="shared" si="21"/>
        <v>-2929</v>
      </c>
      <c r="E112" s="27">
        <f t="shared" si="21"/>
        <v>0</v>
      </c>
      <c r="F112" s="27">
        <f t="shared" si="21"/>
        <v>289070</v>
      </c>
      <c r="G112" s="27">
        <f t="shared" si="21"/>
        <v>0</v>
      </c>
      <c r="H112" s="27">
        <f t="shared" si="21"/>
        <v>0</v>
      </c>
      <c r="I112" s="27">
        <f t="shared" si="21"/>
        <v>68511.81000000001</v>
      </c>
      <c r="J112" s="28">
        <f t="shared" si="19"/>
        <v>68511.81000000001</v>
      </c>
      <c r="K112" s="29">
        <f t="shared" si="20"/>
        <v>23.700767980074033</v>
      </c>
    </row>
    <row r="113" spans="1:11" s="33" customFormat="1" ht="18" customHeight="1">
      <c r="A113" s="16"/>
      <c r="B113" s="16" t="s">
        <v>113</v>
      </c>
      <c r="C113" s="17">
        <v>44138</v>
      </c>
      <c r="D113" s="17">
        <v>-1314</v>
      </c>
      <c r="E113" s="17"/>
      <c r="F113" s="18">
        <f aca="true" t="shared" si="22" ref="F113:F123">SUM(C113:E113)</f>
        <v>42824</v>
      </c>
      <c r="G113" s="17"/>
      <c r="H113" s="17"/>
      <c r="I113" s="17">
        <v>10673.79</v>
      </c>
      <c r="J113" s="18">
        <f t="shared" si="19"/>
        <v>10673.79</v>
      </c>
      <c r="K113" s="19">
        <f t="shared" si="20"/>
        <v>24.924785167195967</v>
      </c>
    </row>
    <row r="114" spans="1:11" s="33" customFormat="1" ht="18" customHeight="1">
      <c r="A114" s="16"/>
      <c r="B114" s="16" t="s">
        <v>114</v>
      </c>
      <c r="C114" s="17">
        <v>34991</v>
      </c>
      <c r="D114" s="17">
        <v>-962</v>
      </c>
      <c r="E114" s="17"/>
      <c r="F114" s="18">
        <f t="shared" si="22"/>
        <v>34029</v>
      </c>
      <c r="G114" s="17"/>
      <c r="H114" s="17"/>
      <c r="I114" s="17">
        <v>7276.98</v>
      </c>
      <c r="J114" s="18">
        <f t="shared" si="19"/>
        <v>7276.98</v>
      </c>
      <c r="K114" s="19">
        <f t="shared" si="20"/>
        <v>21.384642510799612</v>
      </c>
    </row>
    <row r="115" spans="1:11" s="33" customFormat="1" ht="18" customHeight="1">
      <c r="A115" s="16"/>
      <c r="B115" s="16" t="s">
        <v>115</v>
      </c>
      <c r="C115" s="17">
        <v>37037</v>
      </c>
      <c r="D115" s="17">
        <v>-107</v>
      </c>
      <c r="E115" s="17"/>
      <c r="F115" s="18">
        <f t="shared" si="22"/>
        <v>36930</v>
      </c>
      <c r="G115" s="17"/>
      <c r="H115" s="17"/>
      <c r="I115" s="17">
        <v>8440.74</v>
      </c>
      <c r="J115" s="18">
        <f t="shared" si="19"/>
        <v>8440.74</v>
      </c>
      <c r="K115" s="19">
        <f t="shared" si="20"/>
        <v>22.856051990251828</v>
      </c>
    </row>
    <row r="116" spans="1:11" s="33" customFormat="1" ht="18" customHeight="1">
      <c r="A116" s="16"/>
      <c r="B116" s="16" t="s">
        <v>116</v>
      </c>
      <c r="C116" s="17">
        <v>71955</v>
      </c>
      <c r="D116" s="17">
        <v>-564</v>
      </c>
      <c r="E116" s="17"/>
      <c r="F116" s="18">
        <f t="shared" si="22"/>
        <v>71391</v>
      </c>
      <c r="G116" s="17"/>
      <c r="H116" s="17"/>
      <c r="I116" s="17">
        <v>17091.95</v>
      </c>
      <c r="J116" s="18">
        <f t="shared" si="19"/>
        <v>17091.95</v>
      </c>
      <c r="K116" s="19">
        <f t="shared" si="20"/>
        <v>23.941323135969522</v>
      </c>
    </row>
    <row r="117" spans="1:11" s="33" customFormat="1" ht="18" customHeight="1">
      <c r="A117" s="16"/>
      <c r="B117" s="16" t="s">
        <v>117</v>
      </c>
      <c r="C117" s="17">
        <v>43162</v>
      </c>
      <c r="D117" s="17">
        <v>166</v>
      </c>
      <c r="E117" s="17"/>
      <c r="F117" s="18">
        <f t="shared" si="22"/>
        <v>43328</v>
      </c>
      <c r="G117" s="17"/>
      <c r="H117" s="17"/>
      <c r="I117" s="17">
        <v>10346.26</v>
      </c>
      <c r="J117" s="18">
        <f t="shared" si="19"/>
        <v>10346.26</v>
      </c>
      <c r="K117" s="19">
        <f t="shared" si="20"/>
        <v>23.87892355982275</v>
      </c>
    </row>
    <row r="118" spans="1:11" s="33" customFormat="1" ht="18" customHeight="1">
      <c r="A118" s="16"/>
      <c r="B118" s="16" t="s">
        <v>118</v>
      </c>
      <c r="C118" s="17">
        <v>33909</v>
      </c>
      <c r="D118" s="17">
        <v>-123</v>
      </c>
      <c r="E118" s="17"/>
      <c r="F118" s="18">
        <f t="shared" si="22"/>
        <v>33786</v>
      </c>
      <c r="G118" s="17"/>
      <c r="H118" s="17"/>
      <c r="I118" s="17">
        <v>8261.42</v>
      </c>
      <c r="J118" s="18">
        <f t="shared" si="19"/>
        <v>8261.42</v>
      </c>
      <c r="K118" s="19">
        <f t="shared" si="20"/>
        <v>24.452199135736695</v>
      </c>
    </row>
    <row r="119" spans="1:11" s="33" customFormat="1" ht="18" customHeight="1">
      <c r="A119" s="16"/>
      <c r="B119" s="16" t="s">
        <v>119</v>
      </c>
      <c r="C119" s="17">
        <v>26807</v>
      </c>
      <c r="D119" s="17">
        <v>-25</v>
      </c>
      <c r="E119" s="17"/>
      <c r="F119" s="18">
        <f t="shared" si="22"/>
        <v>26782</v>
      </c>
      <c r="G119" s="17"/>
      <c r="H119" s="17"/>
      <c r="I119" s="17">
        <v>6420.67</v>
      </c>
      <c r="J119" s="18">
        <f t="shared" si="19"/>
        <v>6420.67</v>
      </c>
      <c r="K119" s="19">
        <f t="shared" si="20"/>
        <v>23.973825703830933</v>
      </c>
    </row>
    <row r="120" spans="1:11" s="33" customFormat="1" ht="18" customHeight="1">
      <c r="A120" s="16"/>
      <c r="B120" s="16" t="s">
        <v>106</v>
      </c>
      <c r="C120" s="17">
        <v>0</v>
      </c>
      <c r="D120" s="17"/>
      <c r="E120" s="17"/>
      <c r="F120" s="18">
        <f t="shared" si="22"/>
        <v>0</v>
      </c>
      <c r="G120" s="17"/>
      <c r="H120" s="17"/>
      <c r="I120" s="17"/>
      <c r="J120" s="18">
        <f t="shared" si="19"/>
        <v>0</v>
      </c>
      <c r="K120" s="19" t="s">
        <v>47</v>
      </c>
    </row>
    <row r="121" spans="1:11" s="25" customFormat="1" ht="36">
      <c r="A121" s="26"/>
      <c r="B121" s="44" t="s">
        <v>120</v>
      </c>
      <c r="C121" s="27">
        <v>68080</v>
      </c>
      <c r="D121" s="27"/>
      <c r="E121" s="27"/>
      <c r="F121" s="28">
        <f t="shared" si="22"/>
        <v>68080</v>
      </c>
      <c r="G121" s="27">
        <v>5710</v>
      </c>
      <c r="H121" s="27">
        <v>5710</v>
      </c>
      <c r="I121" s="27">
        <v>5710</v>
      </c>
      <c r="J121" s="28">
        <f t="shared" si="19"/>
        <v>17130</v>
      </c>
      <c r="K121" s="29">
        <f aca="true" t="shared" si="23" ref="K121:K132">J121/F121*100</f>
        <v>25.161574618096356</v>
      </c>
    </row>
    <row r="122" spans="1:11" s="25" customFormat="1" ht="18" customHeight="1">
      <c r="A122" s="26"/>
      <c r="B122" s="26" t="s">
        <v>24</v>
      </c>
      <c r="C122" s="27">
        <v>1500</v>
      </c>
      <c r="D122" s="27"/>
      <c r="E122" s="27"/>
      <c r="F122" s="28">
        <f t="shared" si="22"/>
        <v>1500</v>
      </c>
      <c r="G122" s="27"/>
      <c r="H122" s="27"/>
      <c r="I122" s="27"/>
      <c r="J122" s="28">
        <f t="shared" si="19"/>
        <v>0</v>
      </c>
      <c r="K122" s="29">
        <f t="shared" si="23"/>
        <v>0</v>
      </c>
    </row>
    <row r="123" spans="1:11" s="25" customFormat="1" ht="18" customHeight="1">
      <c r="A123" s="36">
        <v>80104</v>
      </c>
      <c r="B123" s="36" t="s">
        <v>121</v>
      </c>
      <c r="C123" s="38">
        <f>C124+C133+C134</f>
        <v>2665055</v>
      </c>
      <c r="D123" s="38">
        <f>D124+D133+D134</f>
        <v>8060</v>
      </c>
      <c r="E123" s="38">
        <f>E124+E133+E134</f>
        <v>0</v>
      </c>
      <c r="F123" s="39">
        <f t="shared" si="22"/>
        <v>2673115</v>
      </c>
      <c r="G123" s="38">
        <f>G124+G133+G134</f>
        <v>0</v>
      </c>
      <c r="H123" s="38">
        <f>H124+H133+H134</f>
        <v>0</v>
      </c>
      <c r="I123" s="38">
        <f>I124+I133+I134</f>
        <v>657662</v>
      </c>
      <c r="J123" s="39">
        <f t="shared" si="19"/>
        <v>657662</v>
      </c>
      <c r="K123" s="24">
        <f t="shared" si="23"/>
        <v>24.602832276202108</v>
      </c>
    </row>
    <row r="124" spans="1:11" s="25" customFormat="1" ht="18" customHeight="1">
      <c r="A124" s="26"/>
      <c r="B124" s="26" t="s">
        <v>122</v>
      </c>
      <c r="C124" s="27">
        <f aca="true" t="shared" si="24" ref="C124:I124">SUM(C125:C132)</f>
        <v>2635055</v>
      </c>
      <c r="D124" s="27">
        <f t="shared" si="24"/>
        <v>8060</v>
      </c>
      <c r="E124" s="27">
        <f t="shared" si="24"/>
        <v>0</v>
      </c>
      <c r="F124" s="27">
        <f t="shared" si="24"/>
        <v>2643115</v>
      </c>
      <c r="G124" s="27">
        <f t="shared" si="24"/>
        <v>0</v>
      </c>
      <c r="H124" s="27">
        <f t="shared" si="24"/>
        <v>0</v>
      </c>
      <c r="I124" s="27">
        <f t="shared" si="24"/>
        <v>657662</v>
      </c>
      <c r="J124" s="28">
        <f t="shared" si="19"/>
        <v>657662</v>
      </c>
      <c r="K124" s="29">
        <f t="shared" si="23"/>
        <v>24.882080424045114</v>
      </c>
    </row>
    <row r="125" spans="1:11" s="33" customFormat="1" ht="18" customHeight="1">
      <c r="A125" s="16"/>
      <c r="B125" s="16" t="s">
        <v>123</v>
      </c>
      <c r="C125" s="17">
        <v>702889</v>
      </c>
      <c r="D125" s="17"/>
      <c r="E125" s="17"/>
      <c r="F125" s="18">
        <f aca="true" t="shared" si="25" ref="F125:F134">SUM(C125:E125)</f>
        <v>702889</v>
      </c>
      <c r="G125" s="17"/>
      <c r="H125" s="17"/>
      <c r="I125" s="17">
        <v>171297</v>
      </c>
      <c r="J125" s="18">
        <f t="shared" si="19"/>
        <v>171297</v>
      </c>
      <c r="K125" s="19">
        <f t="shared" si="23"/>
        <v>24.37041979601331</v>
      </c>
    </row>
    <row r="126" spans="1:11" s="33" customFormat="1" ht="18" customHeight="1">
      <c r="A126" s="16"/>
      <c r="B126" s="16" t="s">
        <v>124</v>
      </c>
      <c r="C126" s="17">
        <v>438963</v>
      </c>
      <c r="D126" s="17"/>
      <c r="E126" s="17"/>
      <c r="F126" s="18">
        <f t="shared" si="25"/>
        <v>438963</v>
      </c>
      <c r="G126" s="17"/>
      <c r="H126" s="17"/>
      <c r="I126" s="17">
        <v>119390</v>
      </c>
      <c r="J126" s="18">
        <f t="shared" si="19"/>
        <v>119390</v>
      </c>
      <c r="K126" s="19">
        <f t="shared" si="23"/>
        <v>27.198192102751257</v>
      </c>
    </row>
    <row r="127" spans="1:11" s="33" customFormat="1" ht="18" customHeight="1">
      <c r="A127" s="16"/>
      <c r="B127" s="16" t="s">
        <v>125</v>
      </c>
      <c r="C127" s="17">
        <v>584711</v>
      </c>
      <c r="D127" s="17"/>
      <c r="E127" s="17"/>
      <c r="F127" s="18">
        <f t="shared" si="25"/>
        <v>584711</v>
      </c>
      <c r="G127" s="17"/>
      <c r="H127" s="17"/>
      <c r="I127" s="17">
        <v>138383</v>
      </c>
      <c r="J127" s="18">
        <f t="shared" si="19"/>
        <v>138383</v>
      </c>
      <c r="K127" s="19">
        <f t="shared" si="23"/>
        <v>23.666905531108533</v>
      </c>
    </row>
    <row r="128" spans="1:11" s="33" customFormat="1" ht="18" customHeight="1">
      <c r="A128" s="16"/>
      <c r="B128" s="16" t="s">
        <v>126</v>
      </c>
      <c r="C128" s="17">
        <v>497181</v>
      </c>
      <c r="D128" s="17"/>
      <c r="E128" s="17"/>
      <c r="F128" s="18">
        <f t="shared" si="25"/>
        <v>497181</v>
      </c>
      <c r="G128" s="17"/>
      <c r="H128" s="17"/>
      <c r="I128" s="17">
        <v>115024</v>
      </c>
      <c r="J128" s="18">
        <f t="shared" si="19"/>
        <v>115024</v>
      </c>
      <c r="K128" s="19">
        <f t="shared" si="23"/>
        <v>23.135236463179407</v>
      </c>
    </row>
    <row r="129" spans="1:11" s="33" customFormat="1" ht="18" customHeight="1">
      <c r="A129" s="16"/>
      <c r="B129" s="16" t="s">
        <v>127</v>
      </c>
      <c r="C129" s="17">
        <v>169625</v>
      </c>
      <c r="D129" s="17"/>
      <c r="E129" s="17"/>
      <c r="F129" s="18">
        <f t="shared" si="25"/>
        <v>169625</v>
      </c>
      <c r="G129" s="17"/>
      <c r="H129" s="17"/>
      <c r="I129" s="17">
        <v>47359</v>
      </c>
      <c r="J129" s="18">
        <f t="shared" si="19"/>
        <v>47359</v>
      </c>
      <c r="K129" s="19">
        <f t="shared" si="23"/>
        <v>27.919823139277817</v>
      </c>
    </row>
    <row r="130" spans="1:11" s="33" customFormat="1" ht="18" customHeight="1">
      <c r="A130" s="16"/>
      <c r="B130" s="16" t="s">
        <v>128</v>
      </c>
      <c r="C130" s="17">
        <v>190410</v>
      </c>
      <c r="D130" s="17"/>
      <c r="E130" s="17"/>
      <c r="F130" s="18">
        <f t="shared" si="25"/>
        <v>190410</v>
      </c>
      <c r="G130" s="17"/>
      <c r="H130" s="17"/>
      <c r="I130" s="17">
        <v>49909</v>
      </c>
      <c r="J130" s="18">
        <f t="shared" si="19"/>
        <v>49909</v>
      </c>
      <c r="K130" s="19">
        <f t="shared" si="23"/>
        <v>26.211333438369834</v>
      </c>
    </row>
    <row r="131" spans="1:11" s="33" customFormat="1" ht="18" customHeight="1">
      <c r="A131" s="16"/>
      <c r="B131" s="16" t="s">
        <v>129</v>
      </c>
      <c r="C131" s="17">
        <v>51276</v>
      </c>
      <c r="D131" s="17"/>
      <c r="E131" s="17"/>
      <c r="F131" s="18">
        <f t="shared" si="25"/>
        <v>51276</v>
      </c>
      <c r="G131" s="17"/>
      <c r="H131" s="17"/>
      <c r="I131" s="17">
        <v>16300</v>
      </c>
      <c r="J131" s="18">
        <f aca="true" t="shared" si="26" ref="J131:J155">SUM(G131:I131)</f>
        <v>16300</v>
      </c>
      <c r="K131" s="19">
        <f t="shared" si="23"/>
        <v>31.78875107262657</v>
      </c>
    </row>
    <row r="132" spans="1:11" s="47" customFormat="1" ht="18" customHeight="1">
      <c r="A132" s="46"/>
      <c r="B132" s="46" t="s">
        <v>130</v>
      </c>
      <c r="C132" s="31">
        <v>0</v>
      </c>
      <c r="D132" s="31">
        <v>8060</v>
      </c>
      <c r="E132" s="31"/>
      <c r="F132" s="32">
        <f t="shared" si="25"/>
        <v>8060</v>
      </c>
      <c r="G132" s="31"/>
      <c r="H132" s="31"/>
      <c r="I132" s="31"/>
      <c r="J132" s="32">
        <f t="shared" si="26"/>
        <v>0</v>
      </c>
      <c r="K132" s="19">
        <f t="shared" si="23"/>
        <v>0</v>
      </c>
    </row>
    <row r="133" spans="1:11" s="25" customFormat="1" ht="18" customHeight="1">
      <c r="A133" s="26"/>
      <c r="B133" s="26" t="s">
        <v>131</v>
      </c>
      <c r="C133" s="27"/>
      <c r="D133" s="27"/>
      <c r="E133" s="27"/>
      <c r="F133" s="28">
        <f t="shared" si="25"/>
        <v>0</v>
      </c>
      <c r="G133" s="27"/>
      <c r="H133" s="27"/>
      <c r="I133" s="27"/>
      <c r="J133" s="28">
        <f t="shared" si="26"/>
        <v>0</v>
      </c>
      <c r="K133" s="29" t="s">
        <v>47</v>
      </c>
    </row>
    <row r="134" spans="1:11" s="25" customFormat="1" ht="18" customHeight="1">
      <c r="A134" s="26"/>
      <c r="B134" s="26" t="s">
        <v>132</v>
      </c>
      <c r="C134" s="27">
        <v>30000</v>
      </c>
      <c r="D134" s="27"/>
      <c r="E134" s="27"/>
      <c r="F134" s="28">
        <f t="shared" si="25"/>
        <v>30000</v>
      </c>
      <c r="G134" s="27"/>
      <c r="H134" s="27"/>
      <c r="I134" s="27"/>
      <c r="J134" s="28">
        <f t="shared" si="26"/>
        <v>0</v>
      </c>
      <c r="K134" s="29">
        <f aca="true" t="shared" si="27" ref="K134:K161">J134/F134*100</f>
        <v>0</v>
      </c>
    </row>
    <row r="135" spans="1:11" s="25" customFormat="1" ht="18" customHeight="1">
      <c r="A135" s="36">
        <v>80110</v>
      </c>
      <c r="B135" s="36" t="s">
        <v>133</v>
      </c>
      <c r="C135" s="38">
        <f aca="true" t="shared" si="28" ref="C135:I135">C136+C141+C142+C143+C144</f>
        <v>4284459</v>
      </c>
      <c r="D135" s="38">
        <f t="shared" si="28"/>
        <v>13311</v>
      </c>
      <c r="E135" s="38">
        <f t="shared" si="28"/>
        <v>0</v>
      </c>
      <c r="F135" s="38">
        <f t="shared" si="28"/>
        <v>4297770</v>
      </c>
      <c r="G135" s="38">
        <f t="shared" si="28"/>
        <v>0</v>
      </c>
      <c r="H135" s="38">
        <f t="shared" si="28"/>
        <v>0</v>
      </c>
      <c r="I135" s="38">
        <f t="shared" si="28"/>
        <v>1113863.1</v>
      </c>
      <c r="J135" s="39">
        <f t="shared" si="26"/>
        <v>1113863.1</v>
      </c>
      <c r="K135" s="24">
        <f t="shared" si="27"/>
        <v>25.917233821260794</v>
      </c>
    </row>
    <row r="136" spans="1:11" s="25" customFormat="1" ht="18" customHeight="1">
      <c r="A136" s="26"/>
      <c r="B136" s="26" t="s">
        <v>134</v>
      </c>
      <c r="C136" s="27">
        <f aca="true" t="shared" si="29" ref="C136:I136">C137+C138+C139+C140</f>
        <v>4253959</v>
      </c>
      <c r="D136" s="27">
        <f t="shared" si="29"/>
        <v>12711</v>
      </c>
      <c r="E136" s="27">
        <f t="shared" si="29"/>
        <v>0</v>
      </c>
      <c r="F136" s="27">
        <f t="shared" si="29"/>
        <v>4266670</v>
      </c>
      <c r="G136" s="27">
        <f t="shared" si="29"/>
        <v>0</v>
      </c>
      <c r="H136" s="27">
        <f t="shared" si="29"/>
        <v>0</v>
      </c>
      <c r="I136" s="27">
        <f t="shared" si="29"/>
        <v>1113863.1</v>
      </c>
      <c r="J136" s="28">
        <f t="shared" si="26"/>
        <v>1113863.1</v>
      </c>
      <c r="K136" s="29">
        <f t="shared" si="27"/>
        <v>26.106146010823434</v>
      </c>
    </row>
    <row r="137" spans="1:11" s="47" customFormat="1" ht="18" customHeight="1">
      <c r="A137" s="46"/>
      <c r="B137" s="46" t="s">
        <v>135</v>
      </c>
      <c r="C137" s="31">
        <v>2050088</v>
      </c>
      <c r="D137" s="31">
        <v>-4513</v>
      </c>
      <c r="E137" s="31"/>
      <c r="F137" s="32">
        <f aca="true" t="shared" si="30" ref="F137:F161">SUM(C137:E137)</f>
        <v>2045575</v>
      </c>
      <c r="G137" s="31"/>
      <c r="H137" s="31"/>
      <c r="I137" s="31">
        <v>532420</v>
      </c>
      <c r="J137" s="32">
        <f t="shared" si="26"/>
        <v>532420</v>
      </c>
      <c r="K137" s="19">
        <f t="shared" si="27"/>
        <v>26.027889468731285</v>
      </c>
    </row>
    <row r="138" spans="1:11" s="47" customFormat="1" ht="18" customHeight="1">
      <c r="A138" s="46"/>
      <c r="B138" s="46" t="s">
        <v>136</v>
      </c>
      <c r="C138" s="31">
        <v>1713471</v>
      </c>
      <c r="D138" s="31">
        <f>2520-7163</f>
        <v>-4643</v>
      </c>
      <c r="E138" s="31"/>
      <c r="F138" s="32">
        <f t="shared" si="30"/>
        <v>1708828</v>
      </c>
      <c r="G138" s="31"/>
      <c r="H138" s="31"/>
      <c r="I138" s="31">
        <v>434489.07</v>
      </c>
      <c r="J138" s="32">
        <f t="shared" si="26"/>
        <v>434489.07</v>
      </c>
      <c r="K138" s="19">
        <f t="shared" si="27"/>
        <v>25.426144117488715</v>
      </c>
    </row>
    <row r="139" spans="1:11" s="47" customFormat="1" ht="18" customHeight="1">
      <c r="A139" s="46"/>
      <c r="B139" s="46" t="s">
        <v>137</v>
      </c>
      <c r="C139" s="31">
        <v>490400</v>
      </c>
      <c r="D139" s="31">
        <f>12038</f>
        <v>12038</v>
      </c>
      <c r="E139" s="31"/>
      <c r="F139" s="32">
        <f t="shared" si="30"/>
        <v>502438</v>
      </c>
      <c r="G139" s="31"/>
      <c r="H139" s="31"/>
      <c r="I139" s="31">
        <v>146954.03</v>
      </c>
      <c r="J139" s="32">
        <f t="shared" si="26"/>
        <v>146954.03</v>
      </c>
      <c r="K139" s="19">
        <f t="shared" si="27"/>
        <v>29.248191816701762</v>
      </c>
    </row>
    <row r="140" spans="1:11" s="47" customFormat="1" ht="18" customHeight="1">
      <c r="A140" s="46"/>
      <c r="B140" s="46" t="s">
        <v>106</v>
      </c>
      <c r="C140" s="31">
        <v>0</v>
      </c>
      <c r="D140" s="31">
        <v>9829</v>
      </c>
      <c r="E140" s="31"/>
      <c r="F140" s="32">
        <f t="shared" si="30"/>
        <v>9829</v>
      </c>
      <c r="G140" s="31"/>
      <c r="H140" s="31"/>
      <c r="I140" s="31"/>
      <c r="J140" s="32">
        <f t="shared" si="26"/>
        <v>0</v>
      </c>
      <c r="K140" s="19">
        <f t="shared" si="27"/>
        <v>0</v>
      </c>
    </row>
    <row r="141" spans="1:11" s="25" customFormat="1" ht="18" customHeight="1">
      <c r="A141" s="26"/>
      <c r="B141" s="26" t="s">
        <v>24</v>
      </c>
      <c r="C141" s="27">
        <v>500</v>
      </c>
      <c r="D141" s="27"/>
      <c r="E141" s="27"/>
      <c r="F141" s="28">
        <f t="shared" si="30"/>
        <v>500</v>
      </c>
      <c r="G141" s="27"/>
      <c r="H141" s="27"/>
      <c r="I141" s="27"/>
      <c r="J141" s="28">
        <f t="shared" si="26"/>
        <v>0</v>
      </c>
      <c r="K141" s="29">
        <f t="shared" si="27"/>
        <v>0</v>
      </c>
    </row>
    <row r="142" spans="1:11" s="25" customFormat="1" ht="18" customHeight="1">
      <c r="A142" s="26"/>
      <c r="B142" s="26" t="s">
        <v>138</v>
      </c>
      <c r="C142" s="27">
        <v>30000</v>
      </c>
      <c r="D142" s="27"/>
      <c r="E142" s="27"/>
      <c r="F142" s="28">
        <f t="shared" si="30"/>
        <v>30000</v>
      </c>
      <c r="G142" s="27"/>
      <c r="H142" s="27"/>
      <c r="I142" s="27"/>
      <c r="J142" s="28">
        <f t="shared" si="26"/>
        <v>0</v>
      </c>
      <c r="K142" s="29">
        <f t="shared" si="27"/>
        <v>0</v>
      </c>
    </row>
    <row r="143" spans="1:11" s="25" customFormat="1" ht="24">
      <c r="A143" s="26"/>
      <c r="B143" s="44" t="s">
        <v>139</v>
      </c>
      <c r="C143" s="27">
        <v>0</v>
      </c>
      <c r="D143" s="27">
        <v>300</v>
      </c>
      <c r="E143" s="27"/>
      <c r="F143" s="28">
        <f t="shared" si="30"/>
        <v>300</v>
      </c>
      <c r="G143" s="27">
        <v>0</v>
      </c>
      <c r="H143" s="27">
        <v>0</v>
      </c>
      <c r="I143" s="27">
        <v>0</v>
      </c>
      <c r="J143" s="28">
        <f t="shared" si="26"/>
        <v>0</v>
      </c>
      <c r="K143" s="29">
        <f t="shared" si="27"/>
        <v>0</v>
      </c>
    </row>
    <row r="144" spans="1:11" s="25" customFormat="1" ht="24">
      <c r="A144" s="26"/>
      <c r="B144" s="44" t="s">
        <v>140</v>
      </c>
      <c r="C144" s="27">
        <v>0</v>
      </c>
      <c r="D144" s="27">
        <v>300</v>
      </c>
      <c r="E144" s="27"/>
      <c r="F144" s="28">
        <f t="shared" si="30"/>
        <v>300</v>
      </c>
      <c r="G144" s="27">
        <v>0</v>
      </c>
      <c r="H144" s="27">
        <v>0</v>
      </c>
      <c r="I144" s="27">
        <v>0</v>
      </c>
      <c r="J144" s="28">
        <f t="shared" si="26"/>
        <v>0</v>
      </c>
      <c r="K144" s="29">
        <f t="shared" si="27"/>
        <v>0</v>
      </c>
    </row>
    <row r="145" spans="1:11" s="25" customFormat="1" ht="18" customHeight="1">
      <c r="A145" s="36">
        <v>80113</v>
      </c>
      <c r="B145" s="36" t="s">
        <v>141</v>
      </c>
      <c r="C145" s="38">
        <v>362500</v>
      </c>
      <c r="D145" s="38"/>
      <c r="E145" s="38"/>
      <c r="F145" s="39">
        <f t="shared" si="30"/>
        <v>362500</v>
      </c>
      <c r="G145" s="38">
        <f>702+20471.26</f>
        <v>21173.26</v>
      </c>
      <c r="H145" s="38">
        <f>400+62.57-17.17+500+200+600+26984.54</f>
        <v>28729.940000000002</v>
      </c>
      <c r="I145" s="38">
        <f>-114.4+500+452.5+501.27+523.6+452.4+21673.01+27.58</f>
        <v>24015.96</v>
      </c>
      <c r="J145" s="39">
        <f t="shared" si="26"/>
        <v>73919.16</v>
      </c>
      <c r="K145" s="24">
        <f t="shared" si="27"/>
        <v>20.391492413793106</v>
      </c>
    </row>
    <row r="146" spans="1:11" s="25" customFormat="1" ht="18" customHeight="1">
      <c r="A146" s="36">
        <v>80146</v>
      </c>
      <c r="B146" s="36" t="s">
        <v>142</v>
      </c>
      <c r="C146" s="38">
        <v>87059</v>
      </c>
      <c r="D146" s="38">
        <f>602-602</f>
        <v>0</v>
      </c>
      <c r="E146" s="38"/>
      <c r="F146" s="39">
        <f t="shared" si="30"/>
        <v>87059</v>
      </c>
      <c r="G146" s="38"/>
      <c r="H146" s="38"/>
      <c r="I146" s="38">
        <f>2618.4+557.2+205.9+3884.99+1357.68+75+446.71+996.2+900+127.76+500+900+360</f>
        <v>12929.84</v>
      </c>
      <c r="J146" s="39">
        <f t="shared" si="26"/>
        <v>12929.84</v>
      </c>
      <c r="K146" s="24">
        <f t="shared" si="27"/>
        <v>14.851813138216613</v>
      </c>
    </row>
    <row r="147" spans="1:11" s="25" customFormat="1" ht="18" customHeight="1">
      <c r="A147" s="36">
        <v>80195</v>
      </c>
      <c r="B147" s="36" t="s">
        <v>143</v>
      </c>
      <c r="C147" s="38">
        <v>123699</v>
      </c>
      <c r="D147" s="38"/>
      <c r="E147" s="38"/>
      <c r="F147" s="39">
        <f t="shared" si="30"/>
        <v>123699</v>
      </c>
      <c r="G147" s="38"/>
      <c r="H147" s="38"/>
      <c r="I147" s="38"/>
      <c r="J147" s="39">
        <f t="shared" si="26"/>
        <v>0</v>
      </c>
      <c r="K147" s="24">
        <f t="shared" si="27"/>
        <v>0</v>
      </c>
    </row>
    <row r="148" spans="1:11" s="25" customFormat="1" ht="24.75" customHeight="1">
      <c r="A148" s="9">
        <v>851</v>
      </c>
      <c r="B148" s="9" t="s">
        <v>144</v>
      </c>
      <c r="C148" s="10">
        <f>C149+C153+C162</f>
        <v>121829</v>
      </c>
      <c r="D148" s="10">
        <f>D149+D153+D162</f>
        <v>0</v>
      </c>
      <c r="E148" s="10">
        <f>E149+E153+E162</f>
        <v>0</v>
      </c>
      <c r="F148" s="12">
        <f t="shared" si="30"/>
        <v>121829</v>
      </c>
      <c r="G148" s="10">
        <f>G149+G153+G162</f>
        <v>1035.56</v>
      </c>
      <c r="H148" s="10">
        <f>H149+H153+H162</f>
        <v>1284.6100000000001</v>
      </c>
      <c r="I148" s="10">
        <f>I149+I153+I162</f>
        <v>9294.71</v>
      </c>
      <c r="J148" s="12">
        <f t="shared" si="26"/>
        <v>11614.88</v>
      </c>
      <c r="K148" s="13">
        <f t="shared" si="27"/>
        <v>9.533756330594521</v>
      </c>
    </row>
    <row r="149" spans="1:11" s="25" customFormat="1" ht="18" customHeight="1">
      <c r="A149" s="36">
        <v>85153</v>
      </c>
      <c r="B149" s="36" t="s">
        <v>145</v>
      </c>
      <c r="C149" s="38">
        <f>C150+C151</f>
        <v>24109</v>
      </c>
      <c r="D149" s="38">
        <f>D150+D151</f>
        <v>0</v>
      </c>
      <c r="E149" s="38">
        <f>E150+E151</f>
        <v>0</v>
      </c>
      <c r="F149" s="39">
        <f t="shared" si="30"/>
        <v>24109</v>
      </c>
      <c r="G149" s="38">
        <f>G150+G151</f>
        <v>0</v>
      </c>
      <c r="H149" s="38">
        <f>H150+H151</f>
        <v>0</v>
      </c>
      <c r="I149" s="38">
        <f>I150+I151</f>
        <v>0</v>
      </c>
      <c r="J149" s="39">
        <f t="shared" si="26"/>
        <v>0</v>
      </c>
      <c r="K149" s="24">
        <f t="shared" si="27"/>
        <v>0</v>
      </c>
    </row>
    <row r="150" spans="1:11" s="33" customFormat="1" ht="18" customHeight="1">
      <c r="A150" s="16"/>
      <c r="B150" s="16" t="s">
        <v>146</v>
      </c>
      <c r="C150" s="17">
        <v>1000</v>
      </c>
      <c r="D150" s="17"/>
      <c r="E150" s="17"/>
      <c r="F150" s="18">
        <f t="shared" si="30"/>
        <v>1000</v>
      </c>
      <c r="G150" s="17"/>
      <c r="H150" s="17"/>
      <c r="I150" s="17"/>
      <c r="J150" s="18">
        <f t="shared" si="26"/>
        <v>0</v>
      </c>
      <c r="K150" s="19">
        <f t="shared" si="27"/>
        <v>0</v>
      </c>
    </row>
    <row r="151" spans="1:11" s="33" customFormat="1" ht="18" customHeight="1">
      <c r="A151" s="16"/>
      <c r="B151" s="16" t="s">
        <v>25</v>
      </c>
      <c r="C151" s="17">
        <f>C152</f>
        <v>23109</v>
      </c>
      <c r="D151" s="17"/>
      <c r="E151" s="17"/>
      <c r="F151" s="18">
        <f t="shared" si="30"/>
        <v>23109</v>
      </c>
      <c r="G151" s="17"/>
      <c r="H151" s="17"/>
      <c r="I151" s="17"/>
      <c r="J151" s="18">
        <f t="shared" si="26"/>
        <v>0</v>
      </c>
      <c r="K151" s="19">
        <f t="shared" si="27"/>
        <v>0</v>
      </c>
    </row>
    <row r="152" spans="1:11" s="49" customFormat="1" ht="24">
      <c r="A152" s="16"/>
      <c r="B152" s="48" t="s">
        <v>147</v>
      </c>
      <c r="C152" s="17">
        <v>23109</v>
      </c>
      <c r="D152" s="17"/>
      <c r="E152" s="17"/>
      <c r="F152" s="18">
        <f t="shared" si="30"/>
        <v>23109</v>
      </c>
      <c r="G152" s="17"/>
      <c r="H152" s="17"/>
      <c r="I152" s="17"/>
      <c r="J152" s="18">
        <f t="shared" si="26"/>
        <v>0</v>
      </c>
      <c r="K152" s="19">
        <f t="shared" si="27"/>
        <v>0</v>
      </c>
    </row>
    <row r="153" spans="1:11" s="25" customFormat="1" ht="18" customHeight="1">
      <c r="A153" s="36">
        <v>85154</v>
      </c>
      <c r="B153" s="36" t="s">
        <v>148</v>
      </c>
      <c r="C153" s="38">
        <f>C154+C155+C156</f>
        <v>92720</v>
      </c>
      <c r="D153" s="38">
        <f aca="true" t="shared" si="31" ref="D153:K153">D154+D155+D156</f>
        <v>0</v>
      </c>
      <c r="E153" s="38">
        <f t="shared" si="31"/>
        <v>0</v>
      </c>
      <c r="F153" s="38">
        <f t="shared" si="31"/>
        <v>92720</v>
      </c>
      <c r="G153" s="38">
        <f t="shared" si="31"/>
        <v>1035.56</v>
      </c>
      <c r="H153" s="38">
        <f t="shared" si="31"/>
        <v>1284.6100000000001</v>
      </c>
      <c r="I153" s="38">
        <f t="shared" si="31"/>
        <v>9294.71</v>
      </c>
      <c r="J153" s="38">
        <f t="shared" si="31"/>
        <v>11614.880000000001</v>
      </c>
      <c r="K153" s="50">
        <f t="shared" si="31"/>
        <v>34.58340767386092</v>
      </c>
    </row>
    <row r="154" spans="1:11" s="33" customFormat="1" ht="18" customHeight="1">
      <c r="A154" s="16"/>
      <c r="B154" s="16" t="s">
        <v>149</v>
      </c>
      <c r="C154" s="17">
        <v>16000</v>
      </c>
      <c r="D154" s="17"/>
      <c r="E154" s="17"/>
      <c r="F154" s="18">
        <f t="shared" si="30"/>
        <v>16000</v>
      </c>
      <c r="G154" s="17">
        <v>1035.56</v>
      </c>
      <c r="H154" s="17">
        <f>566.34+535.27+183</f>
        <v>1284.6100000000001</v>
      </c>
      <c r="I154" s="17">
        <f>564.34+533.37+197</f>
        <v>1294.71</v>
      </c>
      <c r="J154" s="18">
        <f t="shared" si="26"/>
        <v>3614.88</v>
      </c>
      <c r="K154" s="19">
        <f t="shared" si="27"/>
        <v>22.593000000000004</v>
      </c>
    </row>
    <row r="155" spans="1:11" s="33" customFormat="1" ht="18" customHeight="1">
      <c r="A155" s="16"/>
      <c r="B155" s="48" t="s">
        <v>150</v>
      </c>
      <c r="C155" s="17">
        <v>10000</v>
      </c>
      <c r="D155" s="17"/>
      <c r="E155" s="17"/>
      <c r="F155" s="18">
        <f t="shared" si="30"/>
        <v>10000</v>
      </c>
      <c r="G155" s="17"/>
      <c r="H155" s="17"/>
      <c r="I155" s="17"/>
      <c r="J155" s="18">
        <f t="shared" si="26"/>
        <v>0</v>
      </c>
      <c r="K155" s="19">
        <f t="shared" si="27"/>
        <v>0</v>
      </c>
    </row>
    <row r="156" spans="1:11" s="33" customFormat="1" ht="36">
      <c r="A156" s="16"/>
      <c r="B156" s="48" t="s">
        <v>151</v>
      </c>
      <c r="C156" s="17">
        <f aca="true" t="shared" si="32" ref="C156:J156">SUM(C157:C161)</f>
        <v>66720</v>
      </c>
      <c r="D156" s="17">
        <f t="shared" si="32"/>
        <v>0</v>
      </c>
      <c r="E156" s="17">
        <f t="shared" si="32"/>
        <v>0</v>
      </c>
      <c r="F156" s="17">
        <f t="shared" si="32"/>
        <v>66720</v>
      </c>
      <c r="G156" s="17">
        <f t="shared" si="32"/>
        <v>0</v>
      </c>
      <c r="H156" s="17">
        <f t="shared" si="32"/>
        <v>0</v>
      </c>
      <c r="I156" s="17">
        <f t="shared" si="32"/>
        <v>8000</v>
      </c>
      <c r="J156" s="17">
        <f t="shared" si="32"/>
        <v>8000</v>
      </c>
      <c r="K156" s="19">
        <f t="shared" si="27"/>
        <v>11.990407673860911</v>
      </c>
    </row>
    <row r="157" spans="1:11" s="57" customFormat="1" ht="24">
      <c r="A157" s="51"/>
      <c r="B157" s="52" t="s">
        <v>152</v>
      </c>
      <c r="C157" s="53">
        <f>27500+7000</f>
        <v>34500</v>
      </c>
      <c r="D157" s="53"/>
      <c r="E157" s="53"/>
      <c r="F157" s="54">
        <f t="shared" si="30"/>
        <v>34500</v>
      </c>
      <c r="G157" s="53"/>
      <c r="H157" s="53"/>
      <c r="I157" s="55">
        <v>5000</v>
      </c>
      <c r="J157" s="56">
        <f aca="true" t="shared" si="33" ref="J157:J189">SUM(G157:I157)</f>
        <v>5000</v>
      </c>
      <c r="K157" s="19">
        <f t="shared" si="27"/>
        <v>14.492753623188406</v>
      </c>
    </row>
    <row r="158" spans="1:11" s="57" customFormat="1" ht="18" customHeight="1">
      <c r="A158" s="51"/>
      <c r="B158" s="52" t="s">
        <v>153</v>
      </c>
      <c r="C158" s="53">
        <v>1000</v>
      </c>
      <c r="D158" s="53"/>
      <c r="E158" s="53"/>
      <c r="F158" s="54">
        <f t="shared" si="30"/>
        <v>1000</v>
      </c>
      <c r="G158" s="53"/>
      <c r="H158" s="53"/>
      <c r="I158" s="55">
        <v>1000</v>
      </c>
      <c r="J158" s="56">
        <f t="shared" si="33"/>
        <v>1000</v>
      </c>
      <c r="K158" s="19">
        <f t="shared" si="27"/>
        <v>100</v>
      </c>
    </row>
    <row r="159" spans="1:11" s="57" customFormat="1" ht="24">
      <c r="A159" s="51"/>
      <c r="B159" s="52" t="s">
        <v>154</v>
      </c>
      <c r="C159" s="53">
        <v>1000</v>
      </c>
      <c r="D159" s="53"/>
      <c r="E159" s="53"/>
      <c r="F159" s="54">
        <f t="shared" si="30"/>
        <v>1000</v>
      </c>
      <c r="G159" s="53"/>
      <c r="H159" s="53"/>
      <c r="I159" s="55"/>
      <c r="J159" s="56"/>
      <c r="K159" s="19">
        <f t="shared" si="27"/>
        <v>0</v>
      </c>
    </row>
    <row r="160" spans="1:11" s="57" customFormat="1" ht="18" customHeight="1">
      <c r="A160" s="51"/>
      <c r="B160" s="52" t="s">
        <v>155</v>
      </c>
      <c r="C160" s="53">
        <v>7350</v>
      </c>
      <c r="D160" s="53"/>
      <c r="E160" s="53"/>
      <c r="F160" s="54">
        <f t="shared" si="30"/>
        <v>7350</v>
      </c>
      <c r="G160" s="53"/>
      <c r="H160" s="53"/>
      <c r="I160" s="55">
        <v>2000</v>
      </c>
      <c r="J160" s="56">
        <f t="shared" si="33"/>
        <v>2000</v>
      </c>
      <c r="K160" s="19">
        <f t="shared" si="27"/>
        <v>27.2108843537415</v>
      </c>
    </row>
    <row r="161" spans="1:11" s="57" customFormat="1" ht="18" customHeight="1">
      <c r="A161" s="51"/>
      <c r="B161" s="52" t="s">
        <v>156</v>
      </c>
      <c r="C161" s="53">
        <v>22870</v>
      </c>
      <c r="D161" s="53"/>
      <c r="E161" s="53"/>
      <c r="F161" s="54">
        <f t="shared" si="30"/>
        <v>22870</v>
      </c>
      <c r="G161" s="53"/>
      <c r="H161" s="53"/>
      <c r="I161" s="55"/>
      <c r="J161" s="56"/>
      <c r="K161" s="19">
        <f t="shared" si="27"/>
        <v>0</v>
      </c>
    </row>
    <row r="162" spans="1:11" s="25" customFormat="1" ht="18" customHeight="1">
      <c r="A162" s="36">
        <v>85195</v>
      </c>
      <c r="B162" s="36" t="s">
        <v>50</v>
      </c>
      <c r="C162" s="38">
        <f>C163</f>
        <v>5000</v>
      </c>
      <c r="D162" s="38">
        <f>D163</f>
        <v>0</v>
      </c>
      <c r="E162" s="38">
        <f>E163</f>
        <v>0</v>
      </c>
      <c r="F162" s="39">
        <f aca="true" t="shared" si="34" ref="F162:F183">SUM(C162:E162)</f>
        <v>5000</v>
      </c>
      <c r="G162" s="38">
        <f>G163</f>
        <v>0</v>
      </c>
      <c r="H162" s="38">
        <f>H163</f>
        <v>0</v>
      </c>
      <c r="I162" s="38">
        <f>I163</f>
        <v>0</v>
      </c>
      <c r="J162" s="39">
        <f t="shared" si="33"/>
        <v>0</v>
      </c>
      <c r="K162" s="24">
        <f aca="true" t="shared" si="35" ref="K162:K195">J162/F162*100</f>
        <v>0</v>
      </c>
    </row>
    <row r="163" spans="1:11" s="33" customFormat="1" ht="18" customHeight="1">
      <c r="A163" s="16"/>
      <c r="B163" s="16" t="s">
        <v>157</v>
      </c>
      <c r="C163" s="17">
        <v>5000</v>
      </c>
      <c r="D163" s="17"/>
      <c r="E163" s="17"/>
      <c r="F163" s="18">
        <f t="shared" si="34"/>
        <v>5000</v>
      </c>
      <c r="G163" s="17"/>
      <c r="H163" s="17"/>
      <c r="I163" s="17"/>
      <c r="J163" s="18">
        <f t="shared" si="33"/>
        <v>0</v>
      </c>
      <c r="K163" s="19">
        <f t="shared" si="35"/>
        <v>0</v>
      </c>
    </row>
    <row r="164" spans="1:11" s="25" customFormat="1" ht="24.75" customHeight="1">
      <c r="A164" s="9">
        <v>852</v>
      </c>
      <c r="B164" s="9" t="s">
        <v>158</v>
      </c>
      <c r="C164" s="10">
        <f>C165+C166+C170+C171+C176+C177</f>
        <v>3710022</v>
      </c>
      <c r="D164" s="10">
        <f>D165+D166+D170+D171+D176+D177</f>
        <v>0</v>
      </c>
      <c r="E164" s="10">
        <f>E165+E166+E170+E171+E176+E177</f>
        <v>-2000</v>
      </c>
      <c r="F164" s="12">
        <f t="shared" si="34"/>
        <v>3708022</v>
      </c>
      <c r="G164" s="10">
        <f>G165+G166+G170+G171+G176+G177</f>
        <v>80179.2</v>
      </c>
      <c r="H164" s="10">
        <f>H165+H166+H170+H171+H176+H177</f>
        <v>12719.04</v>
      </c>
      <c r="I164" s="10">
        <f>I165+I166+I170+I171+I176+I177</f>
        <v>872511.5099999999</v>
      </c>
      <c r="J164" s="12">
        <f t="shared" si="33"/>
        <v>965409.7499999999</v>
      </c>
      <c r="K164" s="13">
        <f t="shared" si="35"/>
        <v>26.035707177573375</v>
      </c>
    </row>
    <row r="165" spans="1:11" s="25" customFormat="1" ht="18" customHeight="1">
      <c r="A165" s="36">
        <v>85212</v>
      </c>
      <c r="B165" s="36" t="s">
        <v>159</v>
      </c>
      <c r="C165" s="38">
        <v>62902</v>
      </c>
      <c r="D165" s="38"/>
      <c r="E165" s="38"/>
      <c r="F165" s="39">
        <f t="shared" si="34"/>
        <v>62902</v>
      </c>
      <c r="G165" s="38"/>
      <c r="H165" s="38"/>
      <c r="I165" s="38">
        <v>20946</v>
      </c>
      <c r="J165" s="39">
        <f t="shared" si="33"/>
        <v>20946</v>
      </c>
      <c r="K165" s="24">
        <f t="shared" si="35"/>
        <v>33.29941814250739</v>
      </c>
    </row>
    <row r="166" spans="1:11" s="25" customFormat="1" ht="38.25">
      <c r="A166" s="36">
        <v>85214</v>
      </c>
      <c r="B166" s="37" t="s">
        <v>160</v>
      </c>
      <c r="C166" s="38">
        <f>C167+C168+C169</f>
        <v>939100</v>
      </c>
      <c r="D166" s="38">
        <f>D167+D168+D169</f>
        <v>0</v>
      </c>
      <c r="E166" s="38">
        <f>E167+E168+E169</f>
        <v>-2000</v>
      </c>
      <c r="F166" s="39">
        <f t="shared" si="34"/>
        <v>937100</v>
      </c>
      <c r="G166" s="38">
        <f>G167+G168+G169</f>
        <v>0</v>
      </c>
      <c r="H166" s="38">
        <f>H167+H168+H169</f>
        <v>0</v>
      </c>
      <c r="I166" s="38">
        <f>I167+I168+I169</f>
        <v>236066.02000000002</v>
      </c>
      <c r="J166" s="39">
        <f t="shared" si="33"/>
        <v>236066.02000000002</v>
      </c>
      <c r="K166" s="24">
        <f t="shared" si="35"/>
        <v>25.19112367943656</v>
      </c>
    </row>
    <row r="167" spans="1:11" s="33" customFormat="1" ht="24">
      <c r="A167" s="16"/>
      <c r="B167" s="48" t="s">
        <v>161</v>
      </c>
      <c r="C167" s="17">
        <v>436100</v>
      </c>
      <c r="D167" s="17"/>
      <c r="E167" s="17">
        <v>-2000</v>
      </c>
      <c r="F167" s="18">
        <f t="shared" si="34"/>
        <v>434100</v>
      </c>
      <c r="G167" s="17"/>
      <c r="H167" s="17"/>
      <c r="I167" s="17">
        <v>111412.88</v>
      </c>
      <c r="J167" s="18">
        <f t="shared" si="33"/>
        <v>111412.88</v>
      </c>
      <c r="K167" s="19">
        <f t="shared" si="35"/>
        <v>25.665256853259617</v>
      </c>
    </row>
    <row r="168" spans="1:11" s="33" customFormat="1" ht="18" customHeight="1">
      <c r="A168" s="16"/>
      <c r="B168" s="48" t="s">
        <v>162</v>
      </c>
      <c r="C168" s="17">
        <v>500000</v>
      </c>
      <c r="D168" s="17"/>
      <c r="E168" s="17"/>
      <c r="F168" s="18">
        <f t="shared" si="34"/>
        <v>500000</v>
      </c>
      <c r="G168" s="17"/>
      <c r="H168" s="17"/>
      <c r="I168" s="17">
        <v>124653.14</v>
      </c>
      <c r="J168" s="18">
        <f t="shared" si="33"/>
        <v>124653.14</v>
      </c>
      <c r="K168" s="19">
        <f t="shared" si="35"/>
        <v>24.930628</v>
      </c>
    </row>
    <row r="169" spans="1:11" s="33" customFormat="1" ht="18" customHeight="1">
      <c r="A169" s="16"/>
      <c r="B169" s="48" t="s">
        <v>163</v>
      </c>
      <c r="C169" s="17">
        <v>3000</v>
      </c>
      <c r="D169" s="17"/>
      <c r="E169" s="17"/>
      <c r="F169" s="18">
        <f t="shared" si="34"/>
        <v>3000</v>
      </c>
      <c r="G169" s="17"/>
      <c r="H169" s="17"/>
      <c r="I169" s="17"/>
      <c r="J169" s="18">
        <f t="shared" si="33"/>
        <v>0</v>
      </c>
      <c r="K169" s="19">
        <f t="shared" si="35"/>
        <v>0</v>
      </c>
    </row>
    <row r="170" spans="1:11" s="25" customFormat="1" ht="18" customHeight="1">
      <c r="A170" s="36">
        <v>85215</v>
      </c>
      <c r="B170" s="36" t="s">
        <v>164</v>
      </c>
      <c r="C170" s="38">
        <v>1550000</v>
      </c>
      <c r="D170" s="38"/>
      <c r="E170" s="38"/>
      <c r="F170" s="39">
        <f t="shared" si="34"/>
        <v>1550000</v>
      </c>
      <c r="G170" s="38">
        <v>67736.4</v>
      </c>
      <c r="H170" s="38"/>
      <c r="I170" s="38">
        <v>261102.09</v>
      </c>
      <c r="J170" s="39">
        <f t="shared" si="33"/>
        <v>328838.49</v>
      </c>
      <c r="K170" s="24">
        <f t="shared" si="35"/>
        <v>21.215386451612904</v>
      </c>
    </row>
    <row r="171" spans="1:11" s="25" customFormat="1" ht="18" customHeight="1">
      <c r="A171" s="36">
        <v>85219</v>
      </c>
      <c r="B171" s="36" t="s">
        <v>165</v>
      </c>
      <c r="C171" s="38">
        <f>C172+C173+C174+C175</f>
        <v>870954</v>
      </c>
      <c r="D171" s="38">
        <f>D172+D173+D174+D175</f>
        <v>0</v>
      </c>
      <c r="E171" s="38">
        <f>E172+E173+E174+E175</f>
        <v>0</v>
      </c>
      <c r="F171" s="39">
        <f t="shared" si="34"/>
        <v>870954</v>
      </c>
      <c r="G171" s="38">
        <f>G172+G173+G174+G175</f>
        <v>0</v>
      </c>
      <c r="H171" s="38">
        <f>H172+H173+H174+H175</f>
        <v>0</v>
      </c>
      <c r="I171" s="38">
        <f>I172+I173+I174+I175</f>
        <v>225515.19999999998</v>
      </c>
      <c r="J171" s="39">
        <f t="shared" si="33"/>
        <v>225515.19999999998</v>
      </c>
      <c r="K171" s="24">
        <f t="shared" si="35"/>
        <v>25.892894458260713</v>
      </c>
    </row>
    <row r="172" spans="1:11" s="33" customFormat="1" ht="24">
      <c r="A172" s="16"/>
      <c r="B172" s="48" t="s">
        <v>166</v>
      </c>
      <c r="C172" s="17">
        <v>312200</v>
      </c>
      <c r="D172" s="17"/>
      <c r="E172" s="17"/>
      <c r="F172" s="18">
        <f t="shared" si="34"/>
        <v>312200</v>
      </c>
      <c r="G172" s="17"/>
      <c r="H172" s="17"/>
      <c r="I172" s="17">
        <v>85937.01</v>
      </c>
      <c r="J172" s="18">
        <f t="shared" si="33"/>
        <v>85937.01</v>
      </c>
      <c r="K172" s="19">
        <f t="shared" si="35"/>
        <v>27.52626841768097</v>
      </c>
    </row>
    <row r="173" spans="1:11" s="33" customFormat="1" ht="24">
      <c r="A173" s="16"/>
      <c r="B173" s="48" t="s">
        <v>167</v>
      </c>
      <c r="C173" s="17">
        <v>337140</v>
      </c>
      <c r="D173" s="17"/>
      <c r="E173" s="17"/>
      <c r="F173" s="18">
        <f t="shared" si="34"/>
        <v>337140</v>
      </c>
      <c r="G173" s="17"/>
      <c r="H173" s="17"/>
      <c r="I173" s="71">
        <v>120656.34</v>
      </c>
      <c r="J173" s="18">
        <f t="shared" si="33"/>
        <v>120656.34</v>
      </c>
      <c r="K173" s="19">
        <f t="shared" si="35"/>
        <v>35.78820074746396</v>
      </c>
    </row>
    <row r="174" spans="1:11" s="33" customFormat="1" ht="24">
      <c r="A174" s="16"/>
      <c r="B174" s="48" t="s">
        <v>168</v>
      </c>
      <c r="C174" s="17">
        <v>136443</v>
      </c>
      <c r="D174" s="17"/>
      <c r="E174" s="17"/>
      <c r="F174" s="18">
        <f t="shared" si="34"/>
        <v>136443</v>
      </c>
      <c r="G174" s="17"/>
      <c r="H174" s="17"/>
      <c r="I174" s="72"/>
      <c r="J174" s="18">
        <f t="shared" si="33"/>
        <v>0</v>
      </c>
      <c r="K174" s="19">
        <f t="shared" si="35"/>
        <v>0</v>
      </c>
    </row>
    <row r="175" spans="1:11" s="33" customFormat="1" ht="18" customHeight="1">
      <c r="A175" s="16"/>
      <c r="B175" s="16" t="s">
        <v>169</v>
      </c>
      <c r="C175" s="17">
        <v>85171</v>
      </c>
      <c r="D175" s="17"/>
      <c r="E175" s="17"/>
      <c r="F175" s="18">
        <f t="shared" si="34"/>
        <v>85171</v>
      </c>
      <c r="G175" s="17"/>
      <c r="H175" s="17"/>
      <c r="I175" s="17">
        <v>18921.85</v>
      </c>
      <c r="J175" s="18">
        <f t="shared" si="33"/>
        <v>18921.85</v>
      </c>
      <c r="K175" s="19">
        <f t="shared" si="35"/>
        <v>22.216306019654574</v>
      </c>
    </row>
    <row r="176" spans="1:11" s="25" customFormat="1" ht="25.5">
      <c r="A176" s="36">
        <v>85228</v>
      </c>
      <c r="B176" s="37" t="s">
        <v>170</v>
      </c>
      <c r="C176" s="38">
        <v>140000</v>
      </c>
      <c r="D176" s="38"/>
      <c r="E176" s="38"/>
      <c r="F176" s="39">
        <f t="shared" si="34"/>
        <v>140000</v>
      </c>
      <c r="G176" s="38">
        <v>11062.8</v>
      </c>
      <c r="H176" s="38">
        <v>12719.04</v>
      </c>
      <c r="I176" s="38">
        <v>10927.2</v>
      </c>
      <c r="J176" s="39">
        <f t="shared" si="33"/>
        <v>34709.04</v>
      </c>
      <c r="K176" s="24">
        <f t="shared" si="35"/>
        <v>24.79217142857143</v>
      </c>
    </row>
    <row r="177" spans="1:11" s="25" customFormat="1" ht="18" customHeight="1">
      <c r="A177" s="36">
        <v>85295</v>
      </c>
      <c r="B177" s="36" t="s">
        <v>50</v>
      </c>
      <c r="C177" s="38">
        <f>C178+C179</f>
        <v>147066</v>
      </c>
      <c r="D177" s="38">
        <f>D178+D179</f>
        <v>0</v>
      </c>
      <c r="E177" s="38">
        <f>E178+E179</f>
        <v>0</v>
      </c>
      <c r="F177" s="39">
        <f t="shared" si="34"/>
        <v>147066</v>
      </c>
      <c r="G177" s="38">
        <f>G178+G179</f>
        <v>1380</v>
      </c>
      <c r="H177" s="38">
        <f>H178+H179</f>
        <v>0</v>
      </c>
      <c r="I177" s="38">
        <f>I178+I179</f>
        <v>117955</v>
      </c>
      <c r="J177" s="39">
        <f t="shared" si="33"/>
        <v>119335</v>
      </c>
      <c r="K177" s="24">
        <f t="shared" si="35"/>
        <v>81.1438401805992</v>
      </c>
    </row>
    <row r="178" spans="1:11" s="33" customFormat="1" ht="24">
      <c r="A178" s="16"/>
      <c r="B178" s="48" t="s">
        <v>171</v>
      </c>
      <c r="C178" s="17">
        <v>141546</v>
      </c>
      <c r="D178" s="17"/>
      <c r="E178" s="17"/>
      <c r="F178" s="18">
        <f t="shared" si="34"/>
        <v>141546</v>
      </c>
      <c r="G178" s="17"/>
      <c r="H178" s="17"/>
      <c r="I178" s="17">
        <v>117955</v>
      </c>
      <c r="J178" s="18">
        <f t="shared" si="33"/>
        <v>117955</v>
      </c>
      <c r="K178" s="19">
        <f t="shared" si="35"/>
        <v>83.33333333333334</v>
      </c>
    </row>
    <row r="179" spans="1:11" s="33" customFormat="1" ht="18" customHeight="1">
      <c r="A179" s="16"/>
      <c r="B179" s="16" t="s">
        <v>172</v>
      </c>
      <c r="C179" s="17">
        <v>5520</v>
      </c>
      <c r="D179" s="17"/>
      <c r="E179" s="17"/>
      <c r="F179" s="18">
        <f t="shared" si="34"/>
        <v>5520</v>
      </c>
      <c r="G179" s="17">
        <v>1380</v>
      </c>
      <c r="H179" s="17"/>
      <c r="I179" s="17"/>
      <c r="J179" s="18">
        <f t="shared" si="33"/>
        <v>1380</v>
      </c>
      <c r="K179" s="19">
        <f t="shared" si="35"/>
        <v>25</v>
      </c>
    </row>
    <row r="180" spans="1:11" s="25" customFormat="1" ht="27" customHeight="1">
      <c r="A180" s="9">
        <v>852</v>
      </c>
      <c r="B180" s="58" t="s">
        <v>173</v>
      </c>
      <c r="C180" s="10">
        <f>C181+C182+C183</f>
        <v>6151000</v>
      </c>
      <c r="D180" s="10">
        <f>D181+D182+D183</f>
        <v>0</v>
      </c>
      <c r="E180" s="10">
        <f>E181+E182+E183</f>
        <v>-21200</v>
      </c>
      <c r="F180" s="12">
        <f t="shared" si="34"/>
        <v>6129800</v>
      </c>
      <c r="G180" s="10">
        <f>G181+G182+G183</f>
        <v>0</v>
      </c>
      <c r="H180" s="10">
        <f>H181+H182+H183</f>
        <v>2021.25</v>
      </c>
      <c r="I180" s="10">
        <f>I181+I182+I183</f>
        <v>1479363.71</v>
      </c>
      <c r="J180" s="12">
        <f t="shared" si="33"/>
        <v>1481384.96</v>
      </c>
      <c r="K180" s="13">
        <f t="shared" si="35"/>
        <v>24.166937909882865</v>
      </c>
    </row>
    <row r="181" spans="1:11" s="25" customFormat="1" ht="25.5">
      <c r="A181" s="36">
        <v>85212</v>
      </c>
      <c r="B181" s="37" t="s">
        <v>174</v>
      </c>
      <c r="C181" s="38">
        <v>5507000</v>
      </c>
      <c r="D181" s="38"/>
      <c r="E181" s="38">
        <v>48100</v>
      </c>
      <c r="F181" s="39">
        <f t="shared" si="34"/>
        <v>5555100</v>
      </c>
      <c r="G181" s="38"/>
      <c r="H181" s="38"/>
      <c r="I181" s="38">
        <v>1376751</v>
      </c>
      <c r="J181" s="39">
        <f t="shared" si="33"/>
        <v>1376751</v>
      </c>
      <c r="K181" s="24">
        <f t="shared" si="35"/>
        <v>24.78355025112059</v>
      </c>
    </row>
    <row r="182" spans="1:11" s="25" customFormat="1" ht="63.75">
      <c r="A182" s="36">
        <v>85213</v>
      </c>
      <c r="B182" s="37" t="s">
        <v>175</v>
      </c>
      <c r="C182" s="38">
        <v>74700</v>
      </c>
      <c r="D182" s="38"/>
      <c r="E182" s="38"/>
      <c r="F182" s="39">
        <f t="shared" si="34"/>
        <v>74700</v>
      </c>
      <c r="G182" s="38"/>
      <c r="H182" s="38">
        <v>2021.25</v>
      </c>
      <c r="I182" s="38">
        <f>1727.25+5437.03</f>
        <v>7164.28</v>
      </c>
      <c r="J182" s="39">
        <f t="shared" si="33"/>
        <v>9185.529999999999</v>
      </c>
      <c r="K182" s="24">
        <f t="shared" si="35"/>
        <v>12.296559571619811</v>
      </c>
    </row>
    <row r="183" spans="1:11" s="25" customFormat="1" ht="38.25">
      <c r="A183" s="36">
        <v>85214</v>
      </c>
      <c r="B183" s="37" t="s">
        <v>176</v>
      </c>
      <c r="C183" s="38">
        <v>569300</v>
      </c>
      <c r="D183" s="38"/>
      <c r="E183" s="38">
        <v>-69300</v>
      </c>
      <c r="F183" s="39">
        <f t="shared" si="34"/>
        <v>500000</v>
      </c>
      <c r="G183" s="38"/>
      <c r="H183" s="38"/>
      <c r="I183" s="38">
        <v>95448.43</v>
      </c>
      <c r="J183" s="39">
        <f t="shared" si="33"/>
        <v>95448.43</v>
      </c>
      <c r="K183" s="24">
        <f t="shared" si="35"/>
        <v>19.089685999999997</v>
      </c>
    </row>
    <row r="184" spans="1:11" s="59" customFormat="1" ht="24.75" customHeight="1">
      <c r="A184" s="9">
        <v>854</v>
      </c>
      <c r="B184" s="9" t="s">
        <v>177</v>
      </c>
      <c r="C184" s="10">
        <f aca="true" t="shared" si="36" ref="C184:I184">C185+C197+C204+C205+C202</f>
        <v>982422</v>
      </c>
      <c r="D184" s="10">
        <f t="shared" si="36"/>
        <v>49495</v>
      </c>
      <c r="E184" s="10">
        <f t="shared" si="36"/>
        <v>0</v>
      </c>
      <c r="F184" s="10">
        <f t="shared" si="36"/>
        <v>1031917</v>
      </c>
      <c r="G184" s="10">
        <f t="shared" si="36"/>
        <v>19170</v>
      </c>
      <c r="H184" s="10">
        <f t="shared" si="36"/>
        <v>19170</v>
      </c>
      <c r="I184" s="10">
        <f t="shared" si="36"/>
        <v>164395.61999999997</v>
      </c>
      <c r="J184" s="12">
        <f t="shared" si="33"/>
        <v>202735.61999999997</v>
      </c>
      <c r="K184" s="13">
        <f t="shared" si="35"/>
        <v>19.64650451538253</v>
      </c>
    </row>
    <row r="185" spans="1:11" s="25" customFormat="1" ht="18" customHeight="1">
      <c r="A185" s="36">
        <v>85401</v>
      </c>
      <c r="B185" s="36" t="s">
        <v>178</v>
      </c>
      <c r="C185" s="38">
        <f aca="true" t="shared" si="37" ref="C185:I185">SUM(C186:C196)</f>
        <v>611899</v>
      </c>
      <c r="D185" s="38">
        <f t="shared" si="37"/>
        <v>-2445</v>
      </c>
      <c r="E185" s="38">
        <f t="shared" si="37"/>
        <v>0</v>
      </c>
      <c r="F185" s="38">
        <f t="shared" si="37"/>
        <v>609454</v>
      </c>
      <c r="G185" s="38">
        <f t="shared" si="37"/>
        <v>0</v>
      </c>
      <c r="H185" s="38">
        <f t="shared" si="37"/>
        <v>0</v>
      </c>
      <c r="I185" s="38">
        <f t="shared" si="37"/>
        <v>144700.62999999998</v>
      </c>
      <c r="J185" s="39">
        <f t="shared" si="33"/>
        <v>144700.62999999998</v>
      </c>
      <c r="K185" s="24">
        <f t="shared" si="35"/>
        <v>23.74266638663459</v>
      </c>
    </row>
    <row r="186" spans="1:11" s="33" customFormat="1" ht="18" customHeight="1">
      <c r="A186" s="16"/>
      <c r="B186" s="16" t="s">
        <v>179</v>
      </c>
      <c r="C186" s="17">
        <v>42498</v>
      </c>
      <c r="D186" s="17">
        <v>542</v>
      </c>
      <c r="E186" s="17"/>
      <c r="F186" s="18">
        <f aca="true" t="shared" si="38" ref="F186:F217">SUM(C186:E186)</f>
        <v>43040</v>
      </c>
      <c r="G186" s="17"/>
      <c r="H186" s="17"/>
      <c r="I186" s="17">
        <v>10699.87</v>
      </c>
      <c r="J186" s="18">
        <f t="shared" si="33"/>
        <v>10699.87</v>
      </c>
      <c r="K186" s="19">
        <f t="shared" si="35"/>
        <v>24.860292750929368</v>
      </c>
    </row>
    <row r="187" spans="1:11" s="33" customFormat="1" ht="18" customHeight="1">
      <c r="A187" s="16"/>
      <c r="B187" s="16" t="s">
        <v>180</v>
      </c>
      <c r="C187" s="17">
        <v>12993</v>
      </c>
      <c r="D187" s="17">
        <v>0</v>
      </c>
      <c r="E187" s="17"/>
      <c r="F187" s="18">
        <f t="shared" si="38"/>
        <v>12993</v>
      </c>
      <c r="G187" s="17"/>
      <c r="H187" s="17"/>
      <c r="I187" s="17">
        <v>1712.98</v>
      </c>
      <c r="J187" s="18">
        <f t="shared" si="33"/>
        <v>1712.98</v>
      </c>
      <c r="K187" s="19">
        <f t="shared" si="35"/>
        <v>13.183868236742862</v>
      </c>
    </row>
    <row r="188" spans="1:11" s="33" customFormat="1" ht="18" customHeight="1">
      <c r="A188" s="16"/>
      <c r="B188" s="16" t="s">
        <v>181</v>
      </c>
      <c r="C188" s="17">
        <v>82334</v>
      </c>
      <c r="D188" s="17">
        <v>376</v>
      </c>
      <c r="E188" s="17"/>
      <c r="F188" s="18">
        <f t="shared" si="38"/>
        <v>82710</v>
      </c>
      <c r="G188" s="17"/>
      <c r="H188" s="17"/>
      <c r="I188" s="17">
        <v>18633.58</v>
      </c>
      <c r="J188" s="18">
        <f t="shared" si="33"/>
        <v>18633.58</v>
      </c>
      <c r="K188" s="19">
        <f t="shared" si="35"/>
        <v>22.52881151009552</v>
      </c>
    </row>
    <row r="189" spans="1:11" s="33" customFormat="1" ht="18" customHeight="1">
      <c r="A189" s="16"/>
      <c r="B189" s="16" t="s">
        <v>182</v>
      </c>
      <c r="C189" s="17">
        <v>123674</v>
      </c>
      <c r="D189" s="17">
        <v>-1495</v>
      </c>
      <c r="E189" s="17"/>
      <c r="F189" s="18">
        <f t="shared" si="38"/>
        <v>122179</v>
      </c>
      <c r="G189" s="17"/>
      <c r="H189" s="17"/>
      <c r="I189" s="17">
        <v>24415.32</v>
      </c>
      <c r="J189" s="18">
        <f t="shared" si="33"/>
        <v>24415.32</v>
      </c>
      <c r="K189" s="19">
        <f t="shared" si="35"/>
        <v>19.983237708607863</v>
      </c>
    </row>
    <row r="190" spans="1:11" s="33" customFormat="1" ht="18" customHeight="1">
      <c r="A190" s="16"/>
      <c r="B190" s="16" t="s">
        <v>183</v>
      </c>
      <c r="C190" s="17">
        <v>148471</v>
      </c>
      <c r="D190" s="17">
        <v>-324</v>
      </c>
      <c r="E190" s="17"/>
      <c r="F190" s="18">
        <f t="shared" si="38"/>
        <v>148147</v>
      </c>
      <c r="G190" s="17"/>
      <c r="H190" s="17"/>
      <c r="I190" s="17">
        <v>40359.17</v>
      </c>
      <c r="J190" s="18">
        <f aca="true" t="shared" si="39" ref="J190:J221">SUM(G190:I190)</f>
        <v>40359.17</v>
      </c>
      <c r="K190" s="19">
        <f t="shared" si="35"/>
        <v>27.24265088054432</v>
      </c>
    </row>
    <row r="191" spans="1:11" s="33" customFormat="1" ht="18" customHeight="1">
      <c r="A191" s="16"/>
      <c r="B191" s="16" t="s">
        <v>184</v>
      </c>
      <c r="C191" s="17">
        <v>49693</v>
      </c>
      <c r="D191" s="17">
        <v>-267</v>
      </c>
      <c r="E191" s="17"/>
      <c r="F191" s="18">
        <f t="shared" si="38"/>
        <v>49426</v>
      </c>
      <c r="G191" s="17"/>
      <c r="H191" s="17"/>
      <c r="I191" s="17">
        <v>12135.82</v>
      </c>
      <c r="J191" s="18">
        <f t="shared" si="39"/>
        <v>12135.82</v>
      </c>
      <c r="K191" s="19">
        <f t="shared" si="35"/>
        <v>24.55351434467689</v>
      </c>
    </row>
    <row r="192" spans="1:11" s="33" customFormat="1" ht="18" customHeight="1">
      <c r="A192" s="16"/>
      <c r="B192" s="16" t="s">
        <v>185</v>
      </c>
      <c r="C192" s="17">
        <v>58307</v>
      </c>
      <c r="D192" s="17">
        <v>160</v>
      </c>
      <c r="E192" s="17"/>
      <c r="F192" s="18">
        <f t="shared" si="38"/>
        <v>58467</v>
      </c>
      <c r="G192" s="17"/>
      <c r="H192" s="17"/>
      <c r="I192" s="17">
        <v>16677.09</v>
      </c>
      <c r="J192" s="18">
        <f t="shared" si="39"/>
        <v>16677.09</v>
      </c>
      <c r="K192" s="19">
        <f t="shared" si="35"/>
        <v>28.52393657960901</v>
      </c>
    </row>
    <row r="193" spans="1:11" s="33" customFormat="1" ht="18" customHeight="1">
      <c r="A193" s="16"/>
      <c r="B193" s="16" t="s">
        <v>186</v>
      </c>
      <c r="C193" s="17">
        <v>12787</v>
      </c>
      <c r="D193" s="17">
        <v>-630</v>
      </c>
      <c r="E193" s="17"/>
      <c r="F193" s="18">
        <f t="shared" si="38"/>
        <v>12157</v>
      </c>
      <c r="G193" s="17"/>
      <c r="H193" s="17"/>
      <c r="I193" s="17">
        <v>2205.78</v>
      </c>
      <c r="J193" s="18">
        <f t="shared" si="39"/>
        <v>2205.78</v>
      </c>
      <c r="K193" s="19">
        <f t="shared" si="35"/>
        <v>18.144114501933046</v>
      </c>
    </row>
    <row r="194" spans="1:11" s="33" customFormat="1" ht="18" customHeight="1">
      <c r="A194" s="16"/>
      <c r="B194" s="16" t="s">
        <v>187</v>
      </c>
      <c r="C194" s="17">
        <v>33378</v>
      </c>
      <c r="D194" s="17">
        <v>-343</v>
      </c>
      <c r="E194" s="17"/>
      <c r="F194" s="18">
        <f t="shared" si="38"/>
        <v>33035</v>
      </c>
      <c r="G194" s="17"/>
      <c r="H194" s="17"/>
      <c r="I194" s="17">
        <v>7702.8</v>
      </c>
      <c r="J194" s="18">
        <f t="shared" si="39"/>
        <v>7702.8</v>
      </c>
      <c r="K194" s="19">
        <f t="shared" si="35"/>
        <v>23.317087937036476</v>
      </c>
    </row>
    <row r="195" spans="1:11" s="33" customFormat="1" ht="18" customHeight="1">
      <c r="A195" s="16"/>
      <c r="B195" s="16" t="s">
        <v>188</v>
      </c>
      <c r="C195" s="17">
        <v>47764</v>
      </c>
      <c r="D195" s="17">
        <v>-464</v>
      </c>
      <c r="E195" s="17"/>
      <c r="F195" s="18">
        <f t="shared" si="38"/>
        <v>47300</v>
      </c>
      <c r="G195" s="17"/>
      <c r="H195" s="17"/>
      <c r="I195" s="17">
        <v>10158.22</v>
      </c>
      <c r="J195" s="18">
        <f t="shared" si="39"/>
        <v>10158.22</v>
      </c>
      <c r="K195" s="19">
        <f t="shared" si="35"/>
        <v>21.47615221987315</v>
      </c>
    </row>
    <row r="196" spans="1:11" s="47" customFormat="1" ht="18" customHeight="1">
      <c r="A196" s="46"/>
      <c r="B196" s="46" t="s">
        <v>189</v>
      </c>
      <c r="C196" s="31">
        <v>0</v>
      </c>
      <c r="D196" s="31"/>
      <c r="E196" s="31"/>
      <c r="F196" s="32">
        <f t="shared" si="38"/>
        <v>0</v>
      </c>
      <c r="G196" s="31">
        <v>0</v>
      </c>
      <c r="H196" s="31">
        <v>0</v>
      </c>
      <c r="I196" s="31">
        <v>0</v>
      </c>
      <c r="J196" s="32">
        <f t="shared" si="39"/>
        <v>0</v>
      </c>
      <c r="K196" s="19">
        <v>0</v>
      </c>
    </row>
    <row r="197" spans="1:11" s="25" customFormat="1" ht="38.25">
      <c r="A197" s="36">
        <v>85412</v>
      </c>
      <c r="B197" s="37" t="s">
        <v>190</v>
      </c>
      <c r="C197" s="38">
        <f>SUM(C198:C201)</f>
        <v>138550</v>
      </c>
      <c r="D197" s="38">
        <f>SUM(D198:D201)</f>
        <v>15000</v>
      </c>
      <c r="E197" s="38">
        <f>SUM(E198:E201)</f>
        <v>0</v>
      </c>
      <c r="F197" s="39">
        <f t="shared" si="38"/>
        <v>153550</v>
      </c>
      <c r="G197" s="38">
        <f>SUM(G198:G201)</f>
        <v>0</v>
      </c>
      <c r="H197" s="38">
        <f>SUM(H198:H201)</f>
        <v>0</v>
      </c>
      <c r="I197" s="38">
        <f>SUM(I198:I201)</f>
        <v>499.99</v>
      </c>
      <c r="J197" s="39">
        <f t="shared" si="39"/>
        <v>499.99</v>
      </c>
      <c r="K197" s="24">
        <f aca="true" t="shared" si="40" ref="K197:K218">J197/F197*100</f>
        <v>0.325620319114295</v>
      </c>
    </row>
    <row r="198" spans="1:11" s="20" customFormat="1" ht="18" customHeight="1">
      <c r="A198" s="16"/>
      <c r="B198" s="48" t="s">
        <v>191</v>
      </c>
      <c r="C198" s="17">
        <v>50000</v>
      </c>
      <c r="D198" s="17"/>
      <c r="E198" s="17"/>
      <c r="F198" s="18">
        <f t="shared" si="38"/>
        <v>50000</v>
      </c>
      <c r="G198" s="17"/>
      <c r="H198" s="17"/>
      <c r="I198" s="17"/>
      <c r="J198" s="18">
        <f t="shared" si="39"/>
        <v>0</v>
      </c>
      <c r="K198" s="19">
        <f t="shared" si="40"/>
        <v>0</v>
      </c>
    </row>
    <row r="199" spans="1:11" s="20" customFormat="1" ht="18" customHeight="1">
      <c r="A199" s="16"/>
      <c r="B199" s="48" t="s">
        <v>24</v>
      </c>
      <c r="C199" s="17">
        <v>13550</v>
      </c>
      <c r="D199" s="17"/>
      <c r="E199" s="17"/>
      <c r="F199" s="18">
        <f t="shared" si="38"/>
        <v>13550</v>
      </c>
      <c r="G199" s="17"/>
      <c r="H199" s="17"/>
      <c r="I199" s="17">
        <v>499.99</v>
      </c>
      <c r="J199" s="18">
        <f t="shared" si="39"/>
        <v>499.99</v>
      </c>
      <c r="K199" s="19">
        <f t="shared" si="40"/>
        <v>3.689963099630996</v>
      </c>
    </row>
    <row r="200" spans="1:11" s="20" customFormat="1" ht="18" customHeight="1">
      <c r="A200" s="16"/>
      <c r="B200" s="48" t="s">
        <v>192</v>
      </c>
      <c r="C200" s="17">
        <v>15000</v>
      </c>
      <c r="D200" s="17"/>
      <c r="E200" s="17"/>
      <c r="F200" s="18">
        <f t="shared" si="38"/>
        <v>15000</v>
      </c>
      <c r="G200" s="17"/>
      <c r="H200" s="17"/>
      <c r="I200" s="17"/>
      <c r="J200" s="18">
        <f t="shared" si="39"/>
        <v>0</v>
      </c>
      <c r="K200" s="19">
        <f t="shared" si="40"/>
        <v>0</v>
      </c>
    </row>
    <row r="201" spans="1:11" s="20" customFormat="1" ht="18" customHeight="1">
      <c r="A201" s="16"/>
      <c r="B201" s="48" t="s">
        <v>193</v>
      </c>
      <c r="C201" s="17">
        <v>60000</v>
      </c>
      <c r="D201" s="17">
        <v>15000</v>
      </c>
      <c r="E201" s="17"/>
      <c r="F201" s="18">
        <f t="shared" si="38"/>
        <v>75000</v>
      </c>
      <c r="G201" s="17"/>
      <c r="H201" s="17"/>
      <c r="I201" s="17"/>
      <c r="J201" s="18">
        <f t="shared" si="39"/>
        <v>0</v>
      </c>
      <c r="K201" s="19">
        <f t="shared" si="40"/>
        <v>0</v>
      </c>
    </row>
    <row r="202" spans="1:11" s="25" customFormat="1" ht="18" customHeight="1">
      <c r="A202" s="36">
        <v>85415</v>
      </c>
      <c r="B202" s="37" t="s">
        <v>194</v>
      </c>
      <c r="C202" s="38">
        <f>C203</f>
        <v>0</v>
      </c>
      <c r="D202" s="38">
        <f>D203</f>
        <v>36940</v>
      </c>
      <c r="E202" s="38">
        <f>E203</f>
        <v>0</v>
      </c>
      <c r="F202" s="39">
        <f t="shared" si="38"/>
        <v>36940</v>
      </c>
      <c r="G202" s="38">
        <f>G203</f>
        <v>0</v>
      </c>
      <c r="H202" s="38">
        <f>H203</f>
        <v>0</v>
      </c>
      <c r="I202" s="38">
        <f>I203</f>
        <v>0</v>
      </c>
      <c r="J202" s="39">
        <f t="shared" si="39"/>
        <v>0</v>
      </c>
      <c r="K202" s="24">
        <f t="shared" si="40"/>
        <v>0</v>
      </c>
    </row>
    <row r="203" spans="1:11" s="20" customFormat="1" ht="18" customHeight="1">
      <c r="A203" s="16"/>
      <c r="B203" s="48" t="s">
        <v>195</v>
      </c>
      <c r="C203" s="17">
        <v>0</v>
      </c>
      <c r="D203" s="17">
        <v>36940</v>
      </c>
      <c r="E203" s="17"/>
      <c r="F203" s="18">
        <f t="shared" si="38"/>
        <v>36940</v>
      </c>
      <c r="G203" s="17"/>
      <c r="H203" s="17"/>
      <c r="I203" s="17"/>
      <c r="J203" s="18">
        <f t="shared" si="39"/>
        <v>0</v>
      </c>
      <c r="K203" s="19">
        <f t="shared" si="40"/>
        <v>0</v>
      </c>
    </row>
    <row r="204" spans="1:11" s="25" customFormat="1" ht="18" customHeight="1">
      <c r="A204" s="36">
        <v>85446</v>
      </c>
      <c r="B204" s="36" t="s">
        <v>142</v>
      </c>
      <c r="C204" s="38">
        <v>3323</v>
      </c>
      <c r="D204" s="38"/>
      <c r="E204" s="38"/>
      <c r="F204" s="39">
        <f t="shared" si="38"/>
        <v>3323</v>
      </c>
      <c r="G204" s="38"/>
      <c r="H204" s="38"/>
      <c r="I204" s="38">
        <f>0+25+0+0+0</f>
        <v>25</v>
      </c>
      <c r="J204" s="39">
        <f t="shared" si="39"/>
        <v>25</v>
      </c>
      <c r="K204" s="24">
        <f t="shared" si="40"/>
        <v>0.7523322299127295</v>
      </c>
    </row>
    <row r="205" spans="1:11" s="25" customFormat="1" ht="18" customHeight="1">
      <c r="A205" s="36">
        <v>85495</v>
      </c>
      <c r="B205" s="36" t="s">
        <v>50</v>
      </c>
      <c r="C205" s="38">
        <f>C206+C207</f>
        <v>228650</v>
      </c>
      <c r="D205" s="38">
        <f>D206+D207</f>
        <v>0</v>
      </c>
      <c r="E205" s="38">
        <f>E206+E207</f>
        <v>0</v>
      </c>
      <c r="F205" s="39">
        <f t="shared" si="38"/>
        <v>228650</v>
      </c>
      <c r="G205" s="38">
        <f>G206+G207</f>
        <v>19170</v>
      </c>
      <c r="H205" s="38">
        <f>H206+H207</f>
        <v>19170</v>
      </c>
      <c r="I205" s="38">
        <f>I206+I207</f>
        <v>19170</v>
      </c>
      <c r="J205" s="39">
        <f t="shared" si="39"/>
        <v>57510</v>
      </c>
      <c r="K205" s="24">
        <f t="shared" si="40"/>
        <v>25.15197900721627</v>
      </c>
    </row>
    <row r="206" spans="1:11" s="33" customFormat="1" ht="18" customHeight="1">
      <c r="A206" s="16"/>
      <c r="B206" s="16" t="s">
        <v>196</v>
      </c>
      <c r="C206" s="17">
        <v>200000</v>
      </c>
      <c r="D206" s="17"/>
      <c r="E206" s="17"/>
      <c r="F206" s="18">
        <f t="shared" si="38"/>
        <v>200000</v>
      </c>
      <c r="G206" s="17">
        <v>16700</v>
      </c>
      <c r="H206" s="17">
        <v>16700</v>
      </c>
      <c r="I206" s="17">
        <v>16700</v>
      </c>
      <c r="J206" s="18">
        <f t="shared" si="39"/>
        <v>50100</v>
      </c>
      <c r="K206" s="19">
        <f t="shared" si="40"/>
        <v>25.05</v>
      </c>
    </row>
    <row r="207" spans="1:11" s="33" customFormat="1" ht="24">
      <c r="A207" s="16"/>
      <c r="B207" s="48" t="s">
        <v>197</v>
      </c>
      <c r="C207" s="17">
        <v>28650</v>
      </c>
      <c r="D207" s="17"/>
      <c r="E207" s="17"/>
      <c r="F207" s="18">
        <f t="shared" si="38"/>
        <v>28650</v>
      </c>
      <c r="G207" s="17">
        <v>2470</v>
      </c>
      <c r="H207" s="17">
        <v>2470</v>
      </c>
      <c r="I207" s="17">
        <v>2470</v>
      </c>
      <c r="J207" s="18">
        <f t="shared" si="39"/>
        <v>7410</v>
      </c>
      <c r="K207" s="19">
        <f t="shared" si="40"/>
        <v>25.863874345549736</v>
      </c>
    </row>
    <row r="208" spans="1:11" s="25" customFormat="1" ht="30">
      <c r="A208" s="9">
        <v>900</v>
      </c>
      <c r="B208" s="40" t="s">
        <v>198</v>
      </c>
      <c r="C208" s="10">
        <f>C209+C217+C220+C227+C229+C231+C243</f>
        <v>10667918</v>
      </c>
      <c r="D208" s="10">
        <f>D209+D217+D220+D227+D229+D231+D243</f>
        <v>-4000</v>
      </c>
      <c r="E208" s="10">
        <f>E209+E217+E220+E227+E229+E231+E243</f>
        <v>0</v>
      </c>
      <c r="F208" s="12">
        <f t="shared" si="38"/>
        <v>10663918</v>
      </c>
      <c r="G208" s="10">
        <f>G209+G217+G220+G227+G229+G231+G243</f>
        <v>89294.53000000001</v>
      </c>
      <c r="H208" s="10">
        <f>H209+H217+H220+H227+H229+H231+H243</f>
        <v>5584.31</v>
      </c>
      <c r="I208" s="10">
        <f>I209+I217+I220+I227+I229+I231+I243</f>
        <v>503529.91</v>
      </c>
      <c r="J208" s="12">
        <f t="shared" si="39"/>
        <v>598408.75</v>
      </c>
      <c r="K208" s="13">
        <f t="shared" si="40"/>
        <v>5.6115280518848705</v>
      </c>
    </row>
    <row r="209" spans="1:11" s="25" customFormat="1" ht="18" customHeight="1">
      <c r="A209" s="36">
        <v>90001</v>
      </c>
      <c r="B209" s="36" t="s">
        <v>199</v>
      </c>
      <c r="C209" s="38">
        <f>C210+C213</f>
        <v>8815636</v>
      </c>
      <c r="D209" s="38">
        <f>D210+D213</f>
        <v>0</v>
      </c>
      <c r="E209" s="38">
        <f>E210+E213</f>
        <v>0</v>
      </c>
      <c r="F209" s="39">
        <f t="shared" si="38"/>
        <v>8815636</v>
      </c>
      <c r="G209" s="38">
        <f>G210+G213</f>
        <v>1816.5500000000002</v>
      </c>
      <c r="H209" s="38">
        <f>H210+H213</f>
        <v>1296.42</v>
      </c>
      <c r="I209" s="38">
        <f>I210+I213</f>
        <v>224692.67</v>
      </c>
      <c r="J209" s="39">
        <f t="shared" si="39"/>
        <v>227805.64</v>
      </c>
      <c r="K209" s="24">
        <f t="shared" si="40"/>
        <v>2.5841089627566296</v>
      </c>
    </row>
    <row r="210" spans="1:11" s="25" customFormat="1" ht="18" customHeight="1">
      <c r="A210" s="26"/>
      <c r="B210" s="26" t="s">
        <v>200</v>
      </c>
      <c r="C210" s="27">
        <f>SUM(C211:C212)</f>
        <v>83000</v>
      </c>
      <c r="D210" s="27">
        <f>SUM(D211:D212)</f>
        <v>0</v>
      </c>
      <c r="E210" s="27">
        <f>SUM(E211:E212)</f>
        <v>0</v>
      </c>
      <c r="F210" s="28">
        <f t="shared" si="38"/>
        <v>83000</v>
      </c>
      <c r="G210" s="27">
        <f>SUM(G211:G212)</f>
        <v>0</v>
      </c>
      <c r="H210" s="27">
        <f>SUM(H211:H212)</f>
        <v>0</v>
      </c>
      <c r="I210" s="60">
        <f>SUM(I211:I212)</f>
        <v>3710.6</v>
      </c>
      <c r="J210" s="61">
        <f t="shared" si="39"/>
        <v>3710.6</v>
      </c>
      <c r="K210" s="29">
        <f t="shared" si="40"/>
        <v>4.470602409638555</v>
      </c>
    </row>
    <row r="211" spans="1:11" s="33" customFormat="1" ht="18" customHeight="1">
      <c r="A211" s="16"/>
      <c r="B211" s="16" t="s">
        <v>201</v>
      </c>
      <c r="C211" s="17">
        <v>40000</v>
      </c>
      <c r="D211" s="17"/>
      <c r="E211" s="17"/>
      <c r="F211" s="18">
        <f t="shared" si="38"/>
        <v>40000</v>
      </c>
      <c r="G211" s="17"/>
      <c r="H211" s="17"/>
      <c r="I211" s="31"/>
      <c r="J211" s="32">
        <f t="shared" si="39"/>
        <v>0</v>
      </c>
      <c r="K211" s="19">
        <f t="shared" si="40"/>
        <v>0</v>
      </c>
    </row>
    <row r="212" spans="1:11" s="33" customFormat="1" ht="24">
      <c r="A212" s="16"/>
      <c r="B212" s="48" t="s">
        <v>202</v>
      </c>
      <c r="C212" s="17">
        <v>43000</v>
      </c>
      <c r="D212" s="17"/>
      <c r="E212" s="17"/>
      <c r="F212" s="18">
        <f t="shared" si="38"/>
        <v>43000</v>
      </c>
      <c r="G212" s="17"/>
      <c r="H212" s="17"/>
      <c r="I212" s="31">
        <f>3635.6+75</f>
        <v>3710.6</v>
      </c>
      <c r="J212" s="32">
        <f t="shared" si="39"/>
        <v>3710.6</v>
      </c>
      <c r="K212" s="19">
        <f t="shared" si="40"/>
        <v>8.629302325581396</v>
      </c>
    </row>
    <row r="213" spans="1:11" s="25" customFormat="1" ht="18" customHeight="1">
      <c r="A213" s="26"/>
      <c r="B213" s="26" t="s">
        <v>54</v>
      </c>
      <c r="C213" s="27">
        <f>SUM(C214:C216)</f>
        <v>8732636</v>
      </c>
      <c r="D213" s="27">
        <f>SUM(D214:D216)</f>
        <v>0</v>
      </c>
      <c r="E213" s="27">
        <f>SUM(E214:E216)</f>
        <v>0</v>
      </c>
      <c r="F213" s="28">
        <f t="shared" si="38"/>
        <v>8732636</v>
      </c>
      <c r="G213" s="27">
        <f>SUM(G214:G216)</f>
        <v>1816.5500000000002</v>
      </c>
      <c r="H213" s="27">
        <f>SUM(H214:H216)</f>
        <v>1296.42</v>
      </c>
      <c r="I213" s="27">
        <f>SUM(I214:I216)</f>
        <v>220982.07</v>
      </c>
      <c r="J213" s="28">
        <f t="shared" si="39"/>
        <v>224095.04</v>
      </c>
      <c r="K213" s="29">
        <f t="shared" si="40"/>
        <v>2.5661786429664537</v>
      </c>
    </row>
    <row r="214" spans="1:11" s="33" customFormat="1" ht="40.5" customHeight="1">
      <c r="A214" s="16"/>
      <c r="B214" s="48" t="s">
        <v>203</v>
      </c>
      <c r="C214" s="17">
        <v>2950000</v>
      </c>
      <c r="D214" s="17"/>
      <c r="E214" s="17"/>
      <c r="F214" s="18">
        <f t="shared" si="38"/>
        <v>2950000</v>
      </c>
      <c r="G214" s="17">
        <v>554.9</v>
      </c>
      <c r="H214" s="17">
        <f>1096.78+139.64+60</f>
        <v>1296.42</v>
      </c>
      <c r="I214" s="17">
        <f>2440+1261.65+1270.12+27125+423.37+16+60+24908.54</f>
        <v>57504.68</v>
      </c>
      <c r="J214" s="18">
        <f t="shared" si="39"/>
        <v>59356</v>
      </c>
      <c r="K214" s="19">
        <f t="shared" si="40"/>
        <v>2.0120677966101694</v>
      </c>
    </row>
    <row r="215" spans="1:11" s="33" customFormat="1" ht="36">
      <c r="A215" s="16"/>
      <c r="B215" s="48" t="s">
        <v>204</v>
      </c>
      <c r="C215" s="17">
        <v>5717636</v>
      </c>
      <c r="D215" s="17"/>
      <c r="E215" s="17"/>
      <c r="F215" s="18">
        <f t="shared" si="38"/>
        <v>5717636</v>
      </c>
      <c r="G215" s="17">
        <v>1261.65</v>
      </c>
      <c r="H215" s="17"/>
      <c r="I215" s="17">
        <f>81375+1270.12+80832.27</f>
        <v>163477.39</v>
      </c>
      <c r="J215" s="18">
        <f t="shared" si="39"/>
        <v>164739.04</v>
      </c>
      <c r="K215" s="19">
        <f t="shared" si="40"/>
        <v>2.8812439266857846</v>
      </c>
    </row>
    <row r="216" spans="1:11" s="33" customFormat="1" ht="18" customHeight="1">
      <c r="A216" s="16"/>
      <c r="B216" s="16" t="s">
        <v>205</v>
      </c>
      <c r="C216" s="17">
        <v>65000</v>
      </c>
      <c r="D216" s="17"/>
      <c r="E216" s="17"/>
      <c r="F216" s="18">
        <f t="shared" si="38"/>
        <v>65000</v>
      </c>
      <c r="G216" s="17"/>
      <c r="H216" s="17"/>
      <c r="I216" s="17"/>
      <c r="J216" s="18">
        <f t="shared" si="39"/>
        <v>0</v>
      </c>
      <c r="K216" s="19">
        <f t="shared" si="40"/>
        <v>0</v>
      </c>
    </row>
    <row r="217" spans="1:11" s="25" customFormat="1" ht="18" customHeight="1">
      <c r="A217" s="36">
        <v>90003</v>
      </c>
      <c r="B217" s="36" t="s">
        <v>206</v>
      </c>
      <c r="C217" s="38">
        <f>C218+C219</f>
        <v>677320</v>
      </c>
      <c r="D217" s="38">
        <f>D218+D219</f>
        <v>-8000</v>
      </c>
      <c r="E217" s="38">
        <f>E218+E219</f>
        <v>0</v>
      </c>
      <c r="F217" s="39">
        <f t="shared" si="38"/>
        <v>669320</v>
      </c>
      <c r="G217" s="38">
        <f>G218+G219</f>
        <v>57469.66</v>
      </c>
      <c r="H217" s="38">
        <f>H218+H219</f>
        <v>0</v>
      </c>
      <c r="I217" s="38">
        <f>I218+I219</f>
        <v>125221.14</v>
      </c>
      <c r="J217" s="39">
        <f t="shared" si="39"/>
        <v>182690.8</v>
      </c>
      <c r="K217" s="24">
        <f t="shared" si="40"/>
        <v>27.294985955895534</v>
      </c>
    </row>
    <row r="218" spans="1:11" s="33" customFormat="1" ht="18" customHeight="1">
      <c r="A218" s="16"/>
      <c r="B218" s="16" t="s">
        <v>207</v>
      </c>
      <c r="C218" s="17">
        <v>669320</v>
      </c>
      <c r="D218" s="17"/>
      <c r="E218" s="17"/>
      <c r="F218" s="18">
        <f aca="true" t="shared" si="41" ref="F218:F249">SUM(C218:E218)</f>
        <v>669320</v>
      </c>
      <c r="G218" s="17">
        <v>57469.66</v>
      </c>
      <c r="H218" s="17"/>
      <c r="I218" s="17">
        <f>124162.34+1058.8</f>
        <v>125221.14</v>
      </c>
      <c r="J218" s="18">
        <f t="shared" si="39"/>
        <v>182690.8</v>
      </c>
      <c r="K218" s="19">
        <f t="shared" si="40"/>
        <v>27.294985955895534</v>
      </c>
    </row>
    <row r="219" spans="1:11" s="33" customFormat="1" ht="18" customHeight="1">
      <c r="A219" s="16"/>
      <c r="B219" s="16" t="s">
        <v>24</v>
      </c>
      <c r="C219" s="17">
        <v>8000</v>
      </c>
      <c r="D219" s="17">
        <v>-8000</v>
      </c>
      <c r="E219" s="17"/>
      <c r="F219" s="18">
        <f t="shared" si="41"/>
        <v>0</v>
      </c>
      <c r="G219" s="17"/>
      <c r="H219" s="17"/>
      <c r="I219" s="17"/>
      <c r="J219" s="18">
        <f t="shared" si="39"/>
        <v>0</v>
      </c>
      <c r="K219" s="19">
        <v>0</v>
      </c>
    </row>
    <row r="220" spans="1:11" s="25" customFormat="1" ht="18" customHeight="1">
      <c r="A220" s="36">
        <v>90004</v>
      </c>
      <c r="B220" s="36" t="s">
        <v>208</v>
      </c>
      <c r="C220" s="38">
        <f>SUM(C221:C226)</f>
        <v>175492</v>
      </c>
      <c r="D220" s="38">
        <f>SUM(D221:D226)</f>
        <v>0</v>
      </c>
      <c r="E220" s="38">
        <f>SUM(E221:E226)</f>
        <v>0</v>
      </c>
      <c r="F220" s="39">
        <f t="shared" si="41"/>
        <v>175492</v>
      </c>
      <c r="G220" s="38">
        <f>SUM(G221:G226)</f>
        <v>4522.4800000000005</v>
      </c>
      <c r="H220" s="38">
        <f>SUM(H221:H226)</f>
        <v>4287.89</v>
      </c>
      <c r="I220" s="38">
        <f>SUM(I221:I226)</f>
        <v>7048</v>
      </c>
      <c r="J220" s="62">
        <f t="shared" si="39"/>
        <v>15858.37</v>
      </c>
      <c r="K220" s="24">
        <f aca="true" t="shared" si="42" ref="K220:K251">J220/F220*100</f>
        <v>9.036520183256219</v>
      </c>
    </row>
    <row r="221" spans="1:11" s="33" customFormat="1" ht="18" customHeight="1">
      <c r="A221" s="16"/>
      <c r="B221" s="16" t="s">
        <v>209</v>
      </c>
      <c r="C221" s="17">
        <v>82942</v>
      </c>
      <c r="D221" s="17"/>
      <c r="E221" s="17"/>
      <c r="F221" s="18">
        <f t="shared" si="41"/>
        <v>82942</v>
      </c>
      <c r="G221" s="17">
        <f>4287.89+126.59+108</f>
        <v>4522.4800000000005</v>
      </c>
      <c r="H221" s="17">
        <v>4287.89</v>
      </c>
      <c r="I221" s="17">
        <v>4288</v>
      </c>
      <c r="J221" s="45">
        <f t="shared" si="39"/>
        <v>13098.37</v>
      </c>
      <c r="K221" s="19">
        <f t="shared" si="42"/>
        <v>15.792204190880375</v>
      </c>
    </row>
    <row r="222" spans="1:11" s="33" customFormat="1" ht="18" customHeight="1">
      <c r="A222" s="16"/>
      <c r="B222" s="16" t="s">
        <v>210</v>
      </c>
      <c r="C222" s="17">
        <v>26000</v>
      </c>
      <c r="D222" s="17"/>
      <c r="E222" s="17"/>
      <c r="F222" s="18">
        <f t="shared" si="41"/>
        <v>26000</v>
      </c>
      <c r="G222" s="17"/>
      <c r="H222" s="17"/>
      <c r="I222" s="17"/>
      <c r="J222" s="45">
        <f aca="true" t="shared" si="43" ref="J222:J253">SUM(G222:I222)</f>
        <v>0</v>
      </c>
      <c r="K222" s="19">
        <f t="shared" si="42"/>
        <v>0</v>
      </c>
    </row>
    <row r="223" spans="1:11" s="33" customFormat="1" ht="18" customHeight="1">
      <c r="A223" s="16"/>
      <c r="B223" s="16" t="s">
        <v>211</v>
      </c>
      <c r="C223" s="17">
        <v>20000</v>
      </c>
      <c r="D223" s="17"/>
      <c r="E223" s="17"/>
      <c r="F223" s="18">
        <f t="shared" si="41"/>
        <v>20000</v>
      </c>
      <c r="G223" s="17"/>
      <c r="H223" s="17"/>
      <c r="I223" s="17"/>
      <c r="J223" s="45">
        <f t="shared" si="43"/>
        <v>0</v>
      </c>
      <c r="K223" s="19">
        <f t="shared" si="42"/>
        <v>0</v>
      </c>
    </row>
    <row r="224" spans="1:11" s="33" customFormat="1" ht="18" customHeight="1">
      <c r="A224" s="16"/>
      <c r="B224" s="16" t="s">
        <v>212</v>
      </c>
      <c r="C224" s="17">
        <v>12000</v>
      </c>
      <c r="D224" s="17"/>
      <c r="E224" s="17"/>
      <c r="F224" s="18">
        <f t="shared" si="41"/>
        <v>12000</v>
      </c>
      <c r="G224" s="17"/>
      <c r="H224" s="17"/>
      <c r="I224" s="17"/>
      <c r="J224" s="45">
        <f t="shared" si="43"/>
        <v>0</v>
      </c>
      <c r="K224" s="19">
        <f t="shared" si="42"/>
        <v>0</v>
      </c>
    </row>
    <row r="225" spans="1:11" s="33" customFormat="1" ht="18" customHeight="1">
      <c r="A225" s="16"/>
      <c r="B225" s="16" t="s">
        <v>213</v>
      </c>
      <c r="C225" s="17">
        <v>4000</v>
      </c>
      <c r="D225" s="17"/>
      <c r="E225" s="17"/>
      <c r="F225" s="18">
        <f t="shared" si="41"/>
        <v>4000</v>
      </c>
      <c r="G225" s="17"/>
      <c r="H225" s="17"/>
      <c r="I225" s="17"/>
      <c r="J225" s="45">
        <f t="shared" si="43"/>
        <v>0</v>
      </c>
      <c r="K225" s="19">
        <f t="shared" si="42"/>
        <v>0</v>
      </c>
    </row>
    <row r="226" spans="1:11" s="33" customFormat="1" ht="18" customHeight="1">
      <c r="A226" s="16"/>
      <c r="B226" s="16" t="s">
        <v>24</v>
      </c>
      <c r="C226" s="17">
        <v>30550</v>
      </c>
      <c r="D226" s="17"/>
      <c r="E226" s="17"/>
      <c r="F226" s="18">
        <f t="shared" si="41"/>
        <v>30550</v>
      </c>
      <c r="G226" s="17"/>
      <c r="H226" s="17"/>
      <c r="I226" s="17">
        <f>1760+1000</f>
        <v>2760</v>
      </c>
      <c r="J226" s="45">
        <f t="shared" si="43"/>
        <v>2760</v>
      </c>
      <c r="K226" s="19">
        <f t="shared" si="42"/>
        <v>9.034369885433716</v>
      </c>
    </row>
    <row r="227" spans="1:11" s="25" customFormat="1" ht="25.5">
      <c r="A227" s="36">
        <v>90005</v>
      </c>
      <c r="B227" s="37" t="s">
        <v>214</v>
      </c>
      <c r="C227" s="38">
        <f>C228</f>
        <v>16000</v>
      </c>
      <c r="D227" s="38">
        <f>D228</f>
        <v>0</v>
      </c>
      <c r="E227" s="38">
        <f>E228</f>
        <v>0</v>
      </c>
      <c r="F227" s="39">
        <f t="shared" si="41"/>
        <v>16000</v>
      </c>
      <c r="G227" s="38">
        <f>G228</f>
        <v>3924.9</v>
      </c>
      <c r="H227" s="38">
        <f>H228</f>
        <v>0</v>
      </c>
      <c r="I227" s="38">
        <f>I228</f>
        <v>0</v>
      </c>
      <c r="J227" s="39">
        <f t="shared" si="43"/>
        <v>3924.9</v>
      </c>
      <c r="K227" s="24">
        <f t="shared" si="42"/>
        <v>24.530625</v>
      </c>
    </row>
    <row r="228" spans="1:11" s="33" customFormat="1" ht="24">
      <c r="A228" s="16"/>
      <c r="B228" s="48" t="s">
        <v>215</v>
      </c>
      <c r="C228" s="17">
        <v>16000</v>
      </c>
      <c r="D228" s="17"/>
      <c r="E228" s="17"/>
      <c r="F228" s="18">
        <f t="shared" si="41"/>
        <v>16000</v>
      </c>
      <c r="G228" s="17">
        <v>3924.9</v>
      </c>
      <c r="H228" s="17"/>
      <c r="I228" s="17"/>
      <c r="J228" s="18">
        <f t="shared" si="43"/>
        <v>3924.9</v>
      </c>
      <c r="K228" s="19">
        <f t="shared" si="42"/>
        <v>24.530625</v>
      </c>
    </row>
    <row r="229" spans="1:11" s="25" customFormat="1" ht="18" customHeight="1">
      <c r="A229" s="36">
        <v>90013</v>
      </c>
      <c r="B229" s="36" t="s">
        <v>216</v>
      </c>
      <c r="C229" s="38">
        <f>C230</f>
        <v>78000</v>
      </c>
      <c r="D229" s="38">
        <f>D230</f>
        <v>0</v>
      </c>
      <c r="E229" s="38">
        <f>E230</f>
        <v>0</v>
      </c>
      <c r="F229" s="39">
        <f t="shared" si="41"/>
        <v>78000</v>
      </c>
      <c r="G229" s="38">
        <f>G230</f>
        <v>5814.78</v>
      </c>
      <c r="H229" s="38">
        <f>H230</f>
        <v>0</v>
      </c>
      <c r="I229" s="38">
        <f>I230</f>
        <v>14508.48</v>
      </c>
      <c r="J229" s="39">
        <f t="shared" si="43"/>
        <v>20323.26</v>
      </c>
      <c r="K229" s="24">
        <f t="shared" si="42"/>
        <v>26.05546153846154</v>
      </c>
    </row>
    <row r="230" spans="1:11" s="33" customFormat="1" ht="18" customHeight="1">
      <c r="A230" s="16"/>
      <c r="B230" s="48" t="s">
        <v>217</v>
      </c>
      <c r="C230" s="17">
        <v>78000</v>
      </c>
      <c r="D230" s="17"/>
      <c r="E230" s="17"/>
      <c r="F230" s="18">
        <f t="shared" si="41"/>
        <v>78000</v>
      </c>
      <c r="G230" s="17">
        <v>5814.78</v>
      </c>
      <c r="H230" s="17"/>
      <c r="I230" s="17">
        <v>14508.48</v>
      </c>
      <c r="J230" s="18">
        <f t="shared" si="43"/>
        <v>20323.26</v>
      </c>
      <c r="K230" s="19">
        <f t="shared" si="42"/>
        <v>26.05546153846154</v>
      </c>
    </row>
    <row r="231" spans="1:11" s="25" customFormat="1" ht="18" customHeight="1">
      <c r="A231" s="36">
        <v>90015</v>
      </c>
      <c r="B231" s="36" t="s">
        <v>218</v>
      </c>
      <c r="C231" s="38">
        <f>C232+C236</f>
        <v>826000</v>
      </c>
      <c r="D231" s="38">
        <f>D232+D236</f>
        <v>0</v>
      </c>
      <c r="E231" s="38">
        <f>E232+E236</f>
        <v>0</v>
      </c>
      <c r="F231" s="39">
        <f t="shared" si="41"/>
        <v>826000</v>
      </c>
      <c r="G231" s="38">
        <f>G232+G236</f>
        <v>15279.939999999999</v>
      </c>
      <c r="H231" s="38">
        <f>H232+H236</f>
        <v>0</v>
      </c>
      <c r="I231" s="38">
        <f>I232+I236</f>
        <v>132059.62</v>
      </c>
      <c r="J231" s="39">
        <f t="shared" si="43"/>
        <v>147339.56</v>
      </c>
      <c r="K231" s="24">
        <f t="shared" si="42"/>
        <v>17.837719128329297</v>
      </c>
    </row>
    <row r="232" spans="1:11" s="25" customFormat="1" ht="18" customHeight="1">
      <c r="A232" s="26"/>
      <c r="B232" s="26" t="s">
        <v>219</v>
      </c>
      <c r="C232" s="27">
        <f>C233+C234+C235</f>
        <v>539000</v>
      </c>
      <c r="D232" s="27">
        <f>D233+D234+D235</f>
        <v>0</v>
      </c>
      <c r="E232" s="27">
        <f>E233+E234+E235</f>
        <v>0</v>
      </c>
      <c r="F232" s="28">
        <f t="shared" si="41"/>
        <v>539000</v>
      </c>
      <c r="G232" s="27">
        <f>G233+G234+G235</f>
        <v>15279.939999999999</v>
      </c>
      <c r="H232" s="27">
        <f>H233+H234+H235</f>
        <v>0</v>
      </c>
      <c r="I232" s="27">
        <f>I233+I234+I235</f>
        <v>132059.62</v>
      </c>
      <c r="J232" s="28">
        <f t="shared" si="43"/>
        <v>147339.56</v>
      </c>
      <c r="K232" s="29">
        <f t="shared" si="42"/>
        <v>27.335725417439704</v>
      </c>
    </row>
    <row r="233" spans="1:11" s="33" customFormat="1" ht="18" customHeight="1">
      <c r="A233" s="16"/>
      <c r="B233" s="16" t="s">
        <v>220</v>
      </c>
      <c r="C233" s="17">
        <v>412000</v>
      </c>
      <c r="D233" s="17"/>
      <c r="E233" s="17"/>
      <c r="F233" s="18">
        <f t="shared" si="41"/>
        <v>412000</v>
      </c>
      <c r="G233" s="17">
        <v>14260.97</v>
      </c>
      <c r="H233" s="17"/>
      <c r="I233" s="17">
        <v>99273.8</v>
      </c>
      <c r="J233" s="18">
        <f t="shared" si="43"/>
        <v>113534.77</v>
      </c>
      <c r="K233" s="19">
        <f t="shared" si="42"/>
        <v>27.55698300970874</v>
      </c>
    </row>
    <row r="234" spans="1:11" s="33" customFormat="1" ht="18" customHeight="1">
      <c r="A234" s="16"/>
      <c r="B234" s="16" t="s">
        <v>221</v>
      </c>
      <c r="C234" s="17">
        <v>125000</v>
      </c>
      <c r="D234" s="17"/>
      <c r="E234" s="17"/>
      <c r="F234" s="18">
        <f t="shared" si="41"/>
        <v>125000</v>
      </c>
      <c r="G234" s="17">
        <v>1018.97</v>
      </c>
      <c r="H234" s="17"/>
      <c r="I234" s="17">
        <v>32785.82</v>
      </c>
      <c r="J234" s="18">
        <f t="shared" si="43"/>
        <v>33804.79</v>
      </c>
      <c r="K234" s="19">
        <f t="shared" si="42"/>
        <v>27.043832000000002</v>
      </c>
    </row>
    <row r="235" spans="1:11" s="33" customFormat="1" ht="18" customHeight="1">
      <c r="A235" s="16"/>
      <c r="B235" s="16" t="s">
        <v>222</v>
      </c>
      <c r="C235" s="17">
        <v>2000</v>
      </c>
      <c r="D235" s="17"/>
      <c r="E235" s="17"/>
      <c r="F235" s="18">
        <f t="shared" si="41"/>
        <v>2000</v>
      </c>
      <c r="G235" s="17"/>
      <c r="H235" s="17"/>
      <c r="I235" s="17"/>
      <c r="J235" s="18">
        <f t="shared" si="43"/>
        <v>0</v>
      </c>
      <c r="K235" s="19">
        <f t="shared" si="42"/>
        <v>0</v>
      </c>
    </row>
    <row r="236" spans="1:11" s="25" customFormat="1" ht="18" customHeight="1">
      <c r="A236" s="26"/>
      <c r="B236" s="26" t="s">
        <v>54</v>
      </c>
      <c r="C236" s="27">
        <f>C237+C238+C239+C240+C241+C242</f>
        <v>287000</v>
      </c>
      <c r="D236" s="27">
        <f>D237+D238+D239+D240+D241+D242</f>
        <v>0</v>
      </c>
      <c r="E236" s="27">
        <f>E237+E238+E239+E240+E241+E242</f>
        <v>0</v>
      </c>
      <c r="F236" s="28">
        <f t="shared" si="41"/>
        <v>287000</v>
      </c>
      <c r="G236" s="27">
        <f>G237+G238+G239+G240+G241+G242</f>
        <v>0</v>
      </c>
      <c r="H236" s="27">
        <f>H237+H238+H239+H240+H241+H242</f>
        <v>0</v>
      </c>
      <c r="I236" s="27">
        <f>I237+I238+I239+I240+I241+I242</f>
        <v>0</v>
      </c>
      <c r="J236" s="28">
        <f t="shared" si="43"/>
        <v>0</v>
      </c>
      <c r="K236" s="29">
        <f t="shared" si="42"/>
        <v>0</v>
      </c>
    </row>
    <row r="237" spans="1:11" s="33" customFormat="1" ht="24">
      <c r="A237" s="16"/>
      <c r="B237" s="48" t="s">
        <v>223</v>
      </c>
      <c r="C237" s="17">
        <v>183000</v>
      </c>
      <c r="D237" s="17"/>
      <c r="E237" s="17"/>
      <c r="F237" s="18">
        <f t="shared" si="41"/>
        <v>183000</v>
      </c>
      <c r="G237" s="17"/>
      <c r="H237" s="17"/>
      <c r="I237" s="17"/>
      <c r="J237" s="18">
        <f t="shared" si="43"/>
        <v>0</v>
      </c>
      <c r="K237" s="19">
        <f t="shared" si="42"/>
        <v>0</v>
      </c>
    </row>
    <row r="238" spans="1:11" s="33" customFormat="1" ht="18" customHeight="1">
      <c r="A238" s="16"/>
      <c r="B238" s="16" t="s">
        <v>224</v>
      </c>
      <c r="C238" s="17">
        <v>80000</v>
      </c>
      <c r="D238" s="17"/>
      <c r="E238" s="17"/>
      <c r="F238" s="18">
        <f t="shared" si="41"/>
        <v>80000</v>
      </c>
      <c r="G238" s="17"/>
      <c r="H238" s="17"/>
      <c r="I238" s="17"/>
      <c r="J238" s="18">
        <f t="shared" si="43"/>
        <v>0</v>
      </c>
      <c r="K238" s="19">
        <f t="shared" si="42"/>
        <v>0</v>
      </c>
    </row>
    <row r="239" spans="1:11" s="33" customFormat="1" ht="18" customHeight="1">
      <c r="A239" s="16"/>
      <c r="B239" s="48" t="s">
        <v>225</v>
      </c>
      <c r="C239" s="17">
        <v>14000</v>
      </c>
      <c r="D239" s="17"/>
      <c r="E239" s="17"/>
      <c r="F239" s="18">
        <f t="shared" si="41"/>
        <v>14000</v>
      </c>
      <c r="G239" s="17"/>
      <c r="H239" s="17"/>
      <c r="I239" s="17"/>
      <c r="J239" s="18">
        <f t="shared" si="43"/>
        <v>0</v>
      </c>
      <c r="K239" s="19">
        <f t="shared" si="42"/>
        <v>0</v>
      </c>
    </row>
    <row r="240" spans="1:11" s="33" customFormat="1" ht="24">
      <c r="A240" s="16"/>
      <c r="B240" s="48" t="s">
        <v>226</v>
      </c>
      <c r="C240" s="17">
        <v>4000</v>
      </c>
      <c r="D240" s="17"/>
      <c r="E240" s="17"/>
      <c r="F240" s="18">
        <f t="shared" si="41"/>
        <v>4000</v>
      </c>
      <c r="G240" s="17"/>
      <c r="H240" s="17"/>
      <c r="I240" s="17"/>
      <c r="J240" s="18">
        <f t="shared" si="43"/>
        <v>0</v>
      </c>
      <c r="K240" s="19">
        <f t="shared" si="42"/>
        <v>0</v>
      </c>
    </row>
    <row r="241" spans="1:11" s="33" customFormat="1" ht="18" customHeight="1">
      <c r="A241" s="16"/>
      <c r="B241" s="16" t="s">
        <v>227</v>
      </c>
      <c r="C241" s="17">
        <v>3000</v>
      </c>
      <c r="D241" s="17"/>
      <c r="E241" s="17"/>
      <c r="F241" s="18">
        <f t="shared" si="41"/>
        <v>3000</v>
      </c>
      <c r="G241" s="17"/>
      <c r="H241" s="17"/>
      <c r="I241" s="17"/>
      <c r="J241" s="18">
        <f t="shared" si="43"/>
        <v>0</v>
      </c>
      <c r="K241" s="19">
        <f t="shared" si="42"/>
        <v>0</v>
      </c>
    </row>
    <row r="242" spans="1:11" s="33" customFormat="1" ht="18" customHeight="1">
      <c r="A242" s="16"/>
      <c r="B242" s="16" t="s">
        <v>228</v>
      </c>
      <c r="C242" s="17">
        <v>3000</v>
      </c>
      <c r="D242" s="17"/>
      <c r="E242" s="17"/>
      <c r="F242" s="18">
        <f t="shared" si="41"/>
        <v>3000</v>
      </c>
      <c r="G242" s="17"/>
      <c r="H242" s="17"/>
      <c r="I242" s="17"/>
      <c r="J242" s="18">
        <f t="shared" si="43"/>
        <v>0</v>
      </c>
      <c r="K242" s="19">
        <f t="shared" si="42"/>
        <v>0</v>
      </c>
    </row>
    <row r="243" spans="1:11" s="25" customFormat="1" ht="18" customHeight="1">
      <c r="A243" s="36">
        <v>90095</v>
      </c>
      <c r="B243" s="36" t="s">
        <v>50</v>
      </c>
      <c r="C243" s="38">
        <f>C244+C245+C246+C247+C248+C249+C251+C250</f>
        <v>79470</v>
      </c>
      <c r="D243" s="38">
        <f>D244+D245+D246+D247+D248+D249+D251+D250</f>
        <v>4000</v>
      </c>
      <c r="E243" s="38">
        <f>E244+E245+E246+E247+E248+E249+E251+E250</f>
        <v>0</v>
      </c>
      <c r="F243" s="39">
        <f t="shared" si="41"/>
        <v>83470</v>
      </c>
      <c r="G243" s="38">
        <f>G244+G245+G246+G247+G248+G249+G251+G250</f>
        <v>466.22</v>
      </c>
      <c r="H243" s="38">
        <f>H244+H245+H246+H247+H248+H249+H251+H250</f>
        <v>0</v>
      </c>
      <c r="I243" s="38">
        <f>I244+I245+I246+I247+I248+I249+I251+I250</f>
        <v>0</v>
      </c>
      <c r="J243" s="39">
        <f t="shared" si="43"/>
        <v>466.22</v>
      </c>
      <c r="K243" s="24">
        <f t="shared" si="42"/>
        <v>0.5585479813106505</v>
      </c>
    </row>
    <row r="244" spans="1:11" s="33" customFormat="1" ht="24">
      <c r="A244" s="16"/>
      <c r="B244" s="48" t="s">
        <v>229</v>
      </c>
      <c r="C244" s="17">
        <v>20000</v>
      </c>
      <c r="D244" s="17"/>
      <c r="E244" s="17"/>
      <c r="F244" s="18">
        <f t="shared" si="41"/>
        <v>20000</v>
      </c>
      <c r="G244" s="17"/>
      <c r="H244" s="17"/>
      <c r="I244" s="17"/>
      <c r="J244" s="18">
        <f t="shared" si="43"/>
        <v>0</v>
      </c>
      <c r="K244" s="19">
        <f t="shared" si="42"/>
        <v>0</v>
      </c>
    </row>
    <row r="245" spans="1:11" s="33" customFormat="1" ht="18" customHeight="1">
      <c r="A245" s="16"/>
      <c r="B245" s="16" t="s">
        <v>230</v>
      </c>
      <c r="C245" s="17">
        <v>1000</v>
      </c>
      <c r="D245" s="17"/>
      <c r="E245" s="17"/>
      <c r="F245" s="18">
        <f t="shared" si="41"/>
        <v>1000</v>
      </c>
      <c r="G245" s="17">
        <v>466.22</v>
      </c>
      <c r="H245" s="17"/>
      <c r="I245" s="17"/>
      <c r="J245" s="18">
        <f t="shared" si="43"/>
        <v>466.22</v>
      </c>
      <c r="K245" s="19">
        <f t="shared" si="42"/>
        <v>46.622</v>
      </c>
    </row>
    <row r="246" spans="1:11" s="33" customFormat="1" ht="18" customHeight="1">
      <c r="A246" s="16"/>
      <c r="B246" s="16" t="s">
        <v>231</v>
      </c>
      <c r="C246" s="17">
        <v>2500</v>
      </c>
      <c r="D246" s="17"/>
      <c r="E246" s="17"/>
      <c r="F246" s="18">
        <f t="shared" si="41"/>
        <v>2500</v>
      </c>
      <c r="G246" s="17"/>
      <c r="H246" s="17"/>
      <c r="I246" s="17"/>
      <c r="J246" s="18">
        <f t="shared" si="43"/>
        <v>0</v>
      </c>
      <c r="K246" s="19">
        <f t="shared" si="42"/>
        <v>0</v>
      </c>
    </row>
    <row r="247" spans="1:11" s="33" customFormat="1" ht="18" customHeight="1">
      <c r="A247" s="16"/>
      <c r="B247" s="16" t="s">
        <v>232</v>
      </c>
      <c r="C247" s="17">
        <v>42000</v>
      </c>
      <c r="D247" s="17"/>
      <c r="E247" s="17"/>
      <c r="F247" s="18">
        <f t="shared" si="41"/>
        <v>42000</v>
      </c>
      <c r="G247" s="17"/>
      <c r="H247" s="17"/>
      <c r="I247" s="17"/>
      <c r="J247" s="18">
        <f t="shared" si="43"/>
        <v>0</v>
      </c>
      <c r="K247" s="19">
        <f t="shared" si="42"/>
        <v>0</v>
      </c>
    </row>
    <row r="248" spans="1:11" s="33" customFormat="1" ht="18" customHeight="1">
      <c r="A248" s="16"/>
      <c r="B248" s="16" t="s">
        <v>233</v>
      </c>
      <c r="C248" s="17">
        <v>1000</v>
      </c>
      <c r="D248" s="17"/>
      <c r="E248" s="17"/>
      <c r="F248" s="18">
        <f t="shared" si="41"/>
        <v>1000</v>
      </c>
      <c r="G248" s="17"/>
      <c r="H248" s="17"/>
      <c r="I248" s="17"/>
      <c r="J248" s="18">
        <f t="shared" si="43"/>
        <v>0</v>
      </c>
      <c r="K248" s="19">
        <f t="shared" si="42"/>
        <v>0</v>
      </c>
    </row>
    <row r="249" spans="1:11" s="33" customFormat="1" ht="18" customHeight="1">
      <c r="A249" s="16"/>
      <c r="B249" s="16" t="s">
        <v>234</v>
      </c>
      <c r="C249" s="17">
        <v>5000</v>
      </c>
      <c r="D249" s="17"/>
      <c r="E249" s="17"/>
      <c r="F249" s="18">
        <f t="shared" si="41"/>
        <v>5000</v>
      </c>
      <c r="G249" s="17"/>
      <c r="H249" s="17"/>
      <c r="I249" s="17"/>
      <c r="J249" s="18">
        <f t="shared" si="43"/>
        <v>0</v>
      </c>
      <c r="K249" s="19">
        <f t="shared" si="42"/>
        <v>0</v>
      </c>
    </row>
    <row r="250" spans="1:11" s="33" customFormat="1" ht="18" customHeight="1">
      <c r="A250" s="16"/>
      <c r="B250" s="16" t="s">
        <v>235</v>
      </c>
      <c r="C250" s="17">
        <v>0</v>
      </c>
      <c r="D250" s="17">
        <v>5000</v>
      </c>
      <c r="E250" s="17"/>
      <c r="F250" s="18">
        <f>SUM(C250:E250)</f>
        <v>5000</v>
      </c>
      <c r="G250" s="17"/>
      <c r="H250" s="17"/>
      <c r="I250" s="17"/>
      <c r="J250" s="18">
        <f t="shared" si="43"/>
        <v>0</v>
      </c>
      <c r="K250" s="19">
        <f t="shared" si="42"/>
        <v>0</v>
      </c>
    </row>
    <row r="251" spans="1:11" s="33" customFormat="1" ht="18" customHeight="1">
      <c r="A251" s="16"/>
      <c r="B251" s="16" t="s">
        <v>24</v>
      </c>
      <c r="C251" s="17">
        <v>7970</v>
      </c>
      <c r="D251" s="17">
        <v>-1000</v>
      </c>
      <c r="E251" s="17"/>
      <c r="F251" s="18">
        <f>SUM(C251:E251)</f>
        <v>6970</v>
      </c>
      <c r="G251" s="17"/>
      <c r="H251" s="17"/>
      <c r="I251" s="17"/>
      <c r="J251" s="18">
        <f t="shared" si="43"/>
        <v>0</v>
      </c>
      <c r="K251" s="19">
        <f t="shared" si="42"/>
        <v>0</v>
      </c>
    </row>
    <row r="252" spans="1:11" s="25" customFormat="1" ht="30">
      <c r="A252" s="9">
        <v>921</v>
      </c>
      <c r="B252" s="40" t="s">
        <v>236</v>
      </c>
      <c r="C252" s="10">
        <f>C253+C258+C261</f>
        <v>1637180</v>
      </c>
      <c r="D252" s="10">
        <f>D253+D258+D261</f>
        <v>6000</v>
      </c>
      <c r="E252" s="10">
        <f>E253+E258+E261</f>
        <v>0</v>
      </c>
      <c r="F252" s="12">
        <f>SUM(C252:E252)</f>
        <v>1643180</v>
      </c>
      <c r="G252" s="10">
        <f>G253+G258+G261</f>
        <v>159145.41999999998</v>
      </c>
      <c r="H252" s="10">
        <f>H253+H258+H261</f>
        <v>122440</v>
      </c>
      <c r="I252" s="10">
        <f>I253+I258+I261</f>
        <v>127211.07</v>
      </c>
      <c r="J252" s="12">
        <f t="shared" si="43"/>
        <v>408796.49</v>
      </c>
      <c r="K252" s="13">
        <f aca="true" t="shared" si="44" ref="K252:K283">J252/F252*100</f>
        <v>24.87837546708212</v>
      </c>
    </row>
    <row r="253" spans="1:11" s="25" customFormat="1" ht="18" customHeight="1">
      <c r="A253" s="36">
        <v>92109</v>
      </c>
      <c r="B253" s="36" t="s">
        <v>237</v>
      </c>
      <c r="C253" s="38">
        <f aca="true" t="shared" si="45" ref="C253:I253">C254+C257+C255+C256</f>
        <v>430780</v>
      </c>
      <c r="D253" s="38">
        <f t="shared" si="45"/>
        <v>4000</v>
      </c>
      <c r="E253" s="38">
        <f t="shared" si="45"/>
        <v>0</v>
      </c>
      <c r="F253" s="38">
        <f t="shared" si="45"/>
        <v>434780</v>
      </c>
      <c r="G253" s="38">
        <f t="shared" si="45"/>
        <v>39385.42</v>
      </c>
      <c r="H253" s="38">
        <f t="shared" si="45"/>
        <v>32300</v>
      </c>
      <c r="I253" s="38">
        <f t="shared" si="45"/>
        <v>34311.07</v>
      </c>
      <c r="J253" s="39">
        <f t="shared" si="43"/>
        <v>105996.48999999999</v>
      </c>
      <c r="K253" s="24">
        <f t="shared" si="44"/>
        <v>24.379338976033853</v>
      </c>
    </row>
    <row r="254" spans="1:11" s="33" customFormat="1" ht="18" customHeight="1">
      <c r="A254" s="16"/>
      <c r="B254" s="16" t="s">
        <v>238</v>
      </c>
      <c r="C254" s="17">
        <v>387940</v>
      </c>
      <c r="D254" s="17"/>
      <c r="E254" s="17"/>
      <c r="F254" s="18">
        <f aca="true" t="shared" si="46" ref="F254:F260">SUM(C254:E254)</f>
        <v>387940</v>
      </c>
      <c r="G254" s="17">
        <f>10000+22640</f>
        <v>32640</v>
      </c>
      <c r="H254" s="17">
        <v>32300</v>
      </c>
      <c r="I254" s="17">
        <v>32300</v>
      </c>
      <c r="J254" s="18">
        <f aca="true" t="shared" si="47" ref="J254:J285">SUM(G254:I254)</f>
        <v>97240</v>
      </c>
      <c r="K254" s="19">
        <f t="shared" si="44"/>
        <v>25.065731814198074</v>
      </c>
    </row>
    <row r="255" spans="1:11" s="33" customFormat="1" ht="18" customHeight="1">
      <c r="A255" s="16"/>
      <c r="B255" s="16" t="s">
        <v>239</v>
      </c>
      <c r="C255" s="17">
        <v>0</v>
      </c>
      <c r="D255" s="17">
        <v>3500</v>
      </c>
      <c r="E255" s="17"/>
      <c r="F255" s="18">
        <f t="shared" si="46"/>
        <v>3500</v>
      </c>
      <c r="G255" s="17"/>
      <c r="H255" s="17"/>
      <c r="I255" s="17"/>
      <c r="J255" s="18">
        <f t="shared" si="47"/>
        <v>0</v>
      </c>
      <c r="K255" s="19">
        <f t="shared" si="44"/>
        <v>0</v>
      </c>
    </row>
    <row r="256" spans="1:11" s="33" customFormat="1" ht="24">
      <c r="A256" s="16"/>
      <c r="B256" s="48" t="s">
        <v>240</v>
      </c>
      <c r="C256" s="17">
        <v>0</v>
      </c>
      <c r="D256" s="17">
        <v>500</v>
      </c>
      <c r="E256" s="17"/>
      <c r="F256" s="18">
        <f t="shared" si="46"/>
        <v>500</v>
      </c>
      <c r="G256" s="17"/>
      <c r="H256" s="17"/>
      <c r="I256" s="17"/>
      <c r="J256" s="18">
        <f t="shared" si="47"/>
        <v>0</v>
      </c>
      <c r="K256" s="19">
        <f t="shared" si="44"/>
        <v>0</v>
      </c>
    </row>
    <row r="257" spans="1:11" s="33" customFormat="1" ht="18" customHeight="1">
      <c r="A257" s="16"/>
      <c r="B257" s="16" t="s">
        <v>24</v>
      </c>
      <c r="C257" s="17">
        <v>42840</v>
      </c>
      <c r="D257" s="17"/>
      <c r="E257" s="17"/>
      <c r="F257" s="18">
        <f t="shared" si="46"/>
        <v>42840</v>
      </c>
      <c r="G257" s="17">
        <f>6200.01+545.41</f>
        <v>6745.42</v>
      </c>
      <c r="H257" s="17"/>
      <c r="I257" s="17">
        <f>1864.67+146.4</f>
        <v>2011.0700000000002</v>
      </c>
      <c r="J257" s="18">
        <f t="shared" si="47"/>
        <v>8756.49</v>
      </c>
      <c r="K257" s="19">
        <f t="shared" si="44"/>
        <v>20.43998599439776</v>
      </c>
    </row>
    <row r="258" spans="1:11" s="25" customFormat="1" ht="18" customHeight="1">
      <c r="A258" s="36">
        <v>92116</v>
      </c>
      <c r="B258" s="36" t="s">
        <v>241</v>
      </c>
      <c r="C258" s="38">
        <f>C259+C260</f>
        <v>855480</v>
      </c>
      <c r="D258" s="38">
        <f>D259+D260</f>
        <v>0</v>
      </c>
      <c r="E258" s="38">
        <f>E259+E260</f>
        <v>0</v>
      </c>
      <c r="F258" s="39">
        <f t="shared" si="46"/>
        <v>855480</v>
      </c>
      <c r="G258" s="38">
        <f>G259+G260</f>
        <v>90040</v>
      </c>
      <c r="H258" s="38">
        <f>H259+H260</f>
        <v>60940</v>
      </c>
      <c r="I258" s="38">
        <f>I259+I260</f>
        <v>63700</v>
      </c>
      <c r="J258" s="39">
        <f t="shared" si="47"/>
        <v>214680</v>
      </c>
      <c r="K258" s="24">
        <f t="shared" si="44"/>
        <v>25.09468368635152</v>
      </c>
    </row>
    <row r="259" spans="1:11" s="33" customFormat="1" ht="18" customHeight="1">
      <c r="A259" s="16"/>
      <c r="B259" s="16" t="s">
        <v>242</v>
      </c>
      <c r="C259" s="17">
        <v>810480</v>
      </c>
      <c r="D259" s="17"/>
      <c r="E259" s="17"/>
      <c r="F259" s="18">
        <f t="shared" si="46"/>
        <v>810480</v>
      </c>
      <c r="G259" s="17">
        <v>67540</v>
      </c>
      <c r="H259" s="17">
        <v>60940</v>
      </c>
      <c r="I259" s="17">
        <v>63700</v>
      </c>
      <c r="J259" s="18">
        <f t="shared" si="47"/>
        <v>192180</v>
      </c>
      <c r="K259" s="19">
        <f t="shared" si="44"/>
        <v>23.711874444773468</v>
      </c>
    </row>
    <row r="260" spans="1:11" s="33" customFormat="1" ht="18" customHeight="1">
      <c r="A260" s="16"/>
      <c r="B260" s="16" t="s">
        <v>243</v>
      </c>
      <c r="C260" s="17">
        <v>45000</v>
      </c>
      <c r="D260" s="17"/>
      <c r="E260" s="17"/>
      <c r="F260" s="18">
        <f t="shared" si="46"/>
        <v>45000</v>
      </c>
      <c r="G260" s="17">
        <v>22500</v>
      </c>
      <c r="H260" s="17"/>
      <c r="I260" s="17"/>
      <c r="J260" s="18">
        <f t="shared" si="47"/>
        <v>22500</v>
      </c>
      <c r="K260" s="19">
        <f t="shared" si="44"/>
        <v>50</v>
      </c>
    </row>
    <row r="261" spans="1:11" s="25" customFormat="1" ht="18" customHeight="1">
      <c r="A261" s="36">
        <v>92118</v>
      </c>
      <c r="B261" s="36" t="s">
        <v>244</v>
      </c>
      <c r="C261" s="38">
        <f aca="true" t="shared" si="48" ref="C261:I261">C262+C265+C263+C264</f>
        <v>350920</v>
      </c>
      <c r="D261" s="38">
        <f t="shared" si="48"/>
        <v>2000</v>
      </c>
      <c r="E261" s="38">
        <f t="shared" si="48"/>
        <v>0</v>
      </c>
      <c r="F261" s="38">
        <f t="shared" si="48"/>
        <v>352920</v>
      </c>
      <c r="G261" s="38">
        <f t="shared" si="48"/>
        <v>29720</v>
      </c>
      <c r="H261" s="38">
        <f t="shared" si="48"/>
        <v>29200</v>
      </c>
      <c r="I261" s="38">
        <f t="shared" si="48"/>
        <v>29200</v>
      </c>
      <c r="J261" s="39">
        <f t="shared" si="47"/>
        <v>88120</v>
      </c>
      <c r="K261" s="24">
        <f t="shared" si="44"/>
        <v>24.96883146322113</v>
      </c>
    </row>
    <row r="262" spans="1:11" s="33" customFormat="1" ht="18" customHeight="1">
      <c r="A262" s="16"/>
      <c r="B262" s="16" t="s">
        <v>245</v>
      </c>
      <c r="C262" s="17">
        <v>350920</v>
      </c>
      <c r="D262" s="17"/>
      <c r="E262" s="17"/>
      <c r="F262" s="18">
        <f aca="true" t="shared" si="49" ref="F262:F287">SUM(C262:E262)</f>
        <v>350920</v>
      </c>
      <c r="G262" s="17">
        <v>29720</v>
      </c>
      <c r="H262" s="17">
        <v>29200</v>
      </c>
      <c r="I262" s="17">
        <v>29200</v>
      </c>
      <c r="J262" s="18">
        <f t="shared" si="47"/>
        <v>88120</v>
      </c>
      <c r="K262" s="19">
        <f t="shared" si="44"/>
        <v>25.111136441354155</v>
      </c>
    </row>
    <row r="263" spans="1:11" s="33" customFormat="1" ht="24">
      <c r="A263" s="16"/>
      <c r="B263" s="48" t="s">
        <v>246</v>
      </c>
      <c r="C263" s="17">
        <v>0</v>
      </c>
      <c r="D263" s="17">
        <v>500</v>
      </c>
      <c r="E263" s="17"/>
      <c r="F263" s="18">
        <f t="shared" si="49"/>
        <v>500</v>
      </c>
      <c r="G263" s="17"/>
      <c r="H263" s="17"/>
      <c r="I263" s="17"/>
      <c r="J263" s="18">
        <f t="shared" si="47"/>
        <v>0</v>
      </c>
      <c r="K263" s="19">
        <f t="shared" si="44"/>
        <v>0</v>
      </c>
    </row>
    <row r="264" spans="1:11" s="33" customFormat="1" ht="18" customHeight="1">
      <c r="A264" s="16"/>
      <c r="B264" s="48" t="s">
        <v>247</v>
      </c>
      <c r="C264" s="17">
        <v>0</v>
      </c>
      <c r="D264" s="17">
        <v>1000</v>
      </c>
      <c r="E264" s="17"/>
      <c r="F264" s="18">
        <f t="shared" si="49"/>
        <v>1000</v>
      </c>
      <c r="G264" s="17"/>
      <c r="H264" s="17"/>
      <c r="I264" s="17"/>
      <c r="J264" s="18">
        <f t="shared" si="47"/>
        <v>0</v>
      </c>
      <c r="K264" s="19">
        <f t="shared" si="44"/>
        <v>0</v>
      </c>
    </row>
    <row r="265" spans="1:11" s="33" customFormat="1" ht="18" customHeight="1">
      <c r="A265" s="16"/>
      <c r="B265" s="48" t="s">
        <v>248</v>
      </c>
      <c r="C265" s="17">
        <v>0</v>
      </c>
      <c r="D265" s="17">
        <v>500</v>
      </c>
      <c r="E265" s="17"/>
      <c r="F265" s="18">
        <f t="shared" si="49"/>
        <v>500</v>
      </c>
      <c r="G265" s="17"/>
      <c r="H265" s="17"/>
      <c r="I265" s="17"/>
      <c r="J265" s="18">
        <f t="shared" si="47"/>
        <v>0</v>
      </c>
      <c r="K265" s="19">
        <f t="shared" si="44"/>
        <v>0</v>
      </c>
    </row>
    <row r="266" spans="1:11" s="25" customFormat="1" ht="24.75" customHeight="1">
      <c r="A266" s="9">
        <v>926</v>
      </c>
      <c r="B266" s="9" t="s">
        <v>249</v>
      </c>
      <c r="C266" s="10">
        <f>C267+C271</f>
        <v>397640</v>
      </c>
      <c r="D266" s="10">
        <f>D267+D271</f>
        <v>4600</v>
      </c>
      <c r="E266" s="10">
        <f>E267+E271</f>
        <v>0</v>
      </c>
      <c r="F266" s="12">
        <f t="shared" si="49"/>
        <v>402240</v>
      </c>
      <c r="G266" s="10">
        <f>G267+G271</f>
        <v>15900.03</v>
      </c>
      <c r="H266" s="10">
        <f>H267+H271</f>
        <v>10500</v>
      </c>
      <c r="I266" s="10">
        <f>I267+I271</f>
        <v>28456.86</v>
      </c>
      <c r="J266" s="12">
        <f t="shared" si="47"/>
        <v>54856.89</v>
      </c>
      <c r="K266" s="13">
        <f t="shared" si="44"/>
        <v>13.63785053699284</v>
      </c>
    </row>
    <row r="267" spans="1:11" s="25" customFormat="1" ht="18" customHeight="1">
      <c r="A267" s="36">
        <v>92604</v>
      </c>
      <c r="B267" s="36" t="s">
        <v>250</v>
      </c>
      <c r="C267" s="38">
        <f>C268+C269+C270</f>
        <v>156250</v>
      </c>
      <c r="D267" s="38">
        <f>D268+D269+D270</f>
        <v>0</v>
      </c>
      <c r="E267" s="38">
        <f>E268+E269+E270</f>
        <v>0</v>
      </c>
      <c r="F267" s="39">
        <f t="shared" si="49"/>
        <v>156250</v>
      </c>
      <c r="G267" s="38">
        <f>G268+G269+G270</f>
        <v>0</v>
      </c>
      <c r="H267" s="38">
        <f>H268+H269+H270</f>
        <v>0</v>
      </c>
      <c r="I267" s="38">
        <f>I268+I269+I270</f>
        <v>0</v>
      </c>
      <c r="J267" s="39">
        <f t="shared" si="47"/>
        <v>0</v>
      </c>
      <c r="K267" s="24">
        <f t="shared" si="44"/>
        <v>0</v>
      </c>
    </row>
    <row r="268" spans="1:11" s="33" customFormat="1" ht="24">
      <c r="A268" s="16"/>
      <c r="B268" s="48" t="s">
        <v>251</v>
      </c>
      <c r="C268" s="17">
        <v>41250</v>
      </c>
      <c r="D268" s="17"/>
      <c r="E268" s="17"/>
      <c r="F268" s="18">
        <f t="shared" si="49"/>
        <v>41250</v>
      </c>
      <c r="G268" s="17"/>
      <c r="H268" s="17"/>
      <c r="I268" s="17"/>
      <c r="J268" s="18">
        <f t="shared" si="47"/>
        <v>0</v>
      </c>
      <c r="K268" s="19">
        <f t="shared" si="44"/>
        <v>0</v>
      </c>
    </row>
    <row r="269" spans="1:11" s="33" customFormat="1" ht="18" customHeight="1">
      <c r="A269" s="16"/>
      <c r="B269" s="16" t="s">
        <v>252</v>
      </c>
      <c r="C269" s="17">
        <v>100000</v>
      </c>
      <c r="D269" s="17"/>
      <c r="E269" s="17"/>
      <c r="F269" s="18">
        <f t="shared" si="49"/>
        <v>100000</v>
      </c>
      <c r="G269" s="17"/>
      <c r="H269" s="17"/>
      <c r="I269" s="17"/>
      <c r="J269" s="18">
        <f t="shared" si="47"/>
        <v>0</v>
      </c>
      <c r="K269" s="19">
        <f t="shared" si="44"/>
        <v>0</v>
      </c>
    </row>
    <row r="270" spans="1:11" s="33" customFormat="1" ht="18" customHeight="1">
      <c r="A270" s="16"/>
      <c r="B270" s="16" t="s">
        <v>253</v>
      </c>
      <c r="C270" s="17">
        <v>15000</v>
      </c>
      <c r="D270" s="17"/>
      <c r="E270" s="17"/>
      <c r="F270" s="18">
        <f t="shared" si="49"/>
        <v>15000</v>
      </c>
      <c r="G270" s="17"/>
      <c r="H270" s="17"/>
      <c r="I270" s="17"/>
      <c r="J270" s="18">
        <f t="shared" si="47"/>
        <v>0</v>
      </c>
      <c r="K270" s="19">
        <f t="shared" si="44"/>
        <v>0</v>
      </c>
    </row>
    <row r="271" spans="1:11" s="25" customFormat="1" ht="25.5">
      <c r="A271" s="36">
        <v>92605</v>
      </c>
      <c r="B271" s="37" t="s">
        <v>254</v>
      </c>
      <c r="C271" s="38">
        <f>C272+C273+C274+C288</f>
        <v>241390</v>
      </c>
      <c r="D271" s="38">
        <f>D272+D273+D274+D288</f>
        <v>4600</v>
      </c>
      <c r="E271" s="38">
        <f>E272+E273+E274+E288</f>
        <v>0</v>
      </c>
      <c r="F271" s="39">
        <f t="shared" si="49"/>
        <v>245990</v>
      </c>
      <c r="G271" s="38">
        <f>G272+G273+G274+G288</f>
        <v>15900.03</v>
      </c>
      <c r="H271" s="38">
        <f>H272+H273+H274+H288</f>
        <v>10500</v>
      </c>
      <c r="I271" s="38">
        <f>I272+I273+I274+I288</f>
        <v>28456.86</v>
      </c>
      <c r="J271" s="39">
        <f t="shared" si="47"/>
        <v>54856.89</v>
      </c>
      <c r="K271" s="24">
        <f t="shared" si="44"/>
        <v>22.3004553030611</v>
      </c>
    </row>
    <row r="272" spans="1:11" s="64" customFormat="1" ht="18" customHeight="1">
      <c r="A272" s="26"/>
      <c r="B272" s="26" t="s">
        <v>24</v>
      </c>
      <c r="C272" s="27">
        <v>21390</v>
      </c>
      <c r="D272" s="27"/>
      <c r="E272" s="27"/>
      <c r="F272" s="28">
        <f t="shared" si="49"/>
        <v>21390</v>
      </c>
      <c r="G272" s="27">
        <v>400.03</v>
      </c>
      <c r="H272" s="27"/>
      <c r="I272" s="27">
        <f>999.9+43.16</f>
        <v>1043.06</v>
      </c>
      <c r="J272" s="63">
        <f t="shared" si="47"/>
        <v>1443.09</v>
      </c>
      <c r="K272" s="29">
        <f t="shared" si="44"/>
        <v>6.74656381486676</v>
      </c>
    </row>
    <row r="273" spans="1:11" s="64" customFormat="1" ht="18" customHeight="1">
      <c r="A273" s="26"/>
      <c r="B273" s="26" t="s">
        <v>255</v>
      </c>
      <c r="C273" s="27">
        <v>10000</v>
      </c>
      <c r="D273" s="27"/>
      <c r="E273" s="27"/>
      <c r="F273" s="28">
        <f t="shared" si="49"/>
        <v>10000</v>
      </c>
      <c r="G273" s="27"/>
      <c r="H273" s="27"/>
      <c r="I273" s="27"/>
      <c r="J273" s="63">
        <f t="shared" si="47"/>
        <v>0</v>
      </c>
      <c r="K273" s="29">
        <f t="shared" si="44"/>
        <v>0</v>
      </c>
    </row>
    <row r="274" spans="1:11" s="64" customFormat="1" ht="18" customHeight="1">
      <c r="A274" s="26"/>
      <c r="B274" s="26" t="s">
        <v>256</v>
      </c>
      <c r="C274" s="27">
        <f>C275+C287</f>
        <v>210000</v>
      </c>
      <c r="D274" s="27">
        <f>D275+D287</f>
        <v>0</v>
      </c>
      <c r="E274" s="27">
        <f>E275+E287</f>
        <v>0</v>
      </c>
      <c r="F274" s="28">
        <f t="shared" si="49"/>
        <v>210000</v>
      </c>
      <c r="G274" s="27">
        <f>G275+G287</f>
        <v>15500</v>
      </c>
      <c r="H274" s="27">
        <f>H275+H287</f>
        <v>10500</v>
      </c>
      <c r="I274" s="27">
        <f>I275+I287</f>
        <v>27413.8</v>
      </c>
      <c r="J274" s="28">
        <f t="shared" si="47"/>
        <v>53413.8</v>
      </c>
      <c r="K274" s="29">
        <f t="shared" si="44"/>
        <v>25.435142857142857</v>
      </c>
    </row>
    <row r="275" spans="1:11" s="64" customFormat="1" ht="18" customHeight="1">
      <c r="A275" s="26"/>
      <c r="B275" s="26" t="s">
        <v>257</v>
      </c>
      <c r="C275" s="27">
        <f>SUM(C276:C286)</f>
        <v>142000</v>
      </c>
      <c r="D275" s="27">
        <f>SUM(D276:D286)</f>
        <v>0</v>
      </c>
      <c r="E275" s="27">
        <f>SUM(E276:E286)</f>
        <v>0</v>
      </c>
      <c r="F275" s="28">
        <f t="shared" si="49"/>
        <v>142000</v>
      </c>
      <c r="G275" s="27">
        <f>SUM(G276:G286)</f>
        <v>15500</v>
      </c>
      <c r="H275" s="27">
        <f>SUM(H276:H286)</f>
        <v>10500</v>
      </c>
      <c r="I275" s="27">
        <f>SUM(I276:I286)</f>
        <v>26998.09</v>
      </c>
      <c r="J275" s="28">
        <f t="shared" si="47"/>
        <v>52998.09</v>
      </c>
      <c r="K275" s="29">
        <f t="shared" si="44"/>
        <v>37.322598591549294</v>
      </c>
    </row>
    <row r="276" spans="1:11" s="65" customFormat="1" ht="18" customHeight="1">
      <c r="A276" s="51"/>
      <c r="B276" s="51" t="s">
        <v>258</v>
      </c>
      <c r="C276" s="53">
        <v>66500</v>
      </c>
      <c r="D276" s="53"/>
      <c r="E276" s="53"/>
      <c r="F276" s="18">
        <f t="shared" si="49"/>
        <v>66500</v>
      </c>
      <c r="G276" s="53">
        <v>10000</v>
      </c>
      <c r="H276" s="53">
        <v>4000</v>
      </c>
      <c r="I276" s="53">
        <v>6000</v>
      </c>
      <c r="J276" s="18">
        <f t="shared" si="47"/>
        <v>20000</v>
      </c>
      <c r="K276" s="19">
        <f t="shared" si="44"/>
        <v>30.075187969924812</v>
      </c>
    </row>
    <row r="277" spans="1:11" s="65" customFormat="1" ht="18" customHeight="1">
      <c r="A277" s="51"/>
      <c r="B277" s="51" t="s">
        <v>259</v>
      </c>
      <c r="C277" s="53">
        <v>45500</v>
      </c>
      <c r="D277" s="53"/>
      <c r="E277" s="53"/>
      <c r="F277" s="18">
        <f t="shared" si="49"/>
        <v>45500</v>
      </c>
      <c r="G277" s="53">
        <v>5500</v>
      </c>
      <c r="H277" s="53">
        <v>1500</v>
      </c>
      <c r="I277" s="53">
        <v>17000</v>
      </c>
      <c r="J277" s="18">
        <f t="shared" si="47"/>
        <v>24000</v>
      </c>
      <c r="K277" s="19">
        <f t="shared" si="44"/>
        <v>52.74725274725275</v>
      </c>
    </row>
    <row r="278" spans="1:11" s="65" customFormat="1" ht="18" customHeight="1">
      <c r="A278" s="51"/>
      <c r="B278" s="51" t="s">
        <v>260</v>
      </c>
      <c r="C278" s="53">
        <v>3000</v>
      </c>
      <c r="D278" s="53"/>
      <c r="E278" s="53"/>
      <c r="F278" s="18">
        <f t="shared" si="49"/>
        <v>3000</v>
      </c>
      <c r="G278" s="53"/>
      <c r="H278" s="53"/>
      <c r="I278" s="53">
        <v>1000</v>
      </c>
      <c r="J278" s="18">
        <f t="shared" si="47"/>
        <v>1000</v>
      </c>
      <c r="K278" s="19">
        <f t="shared" si="44"/>
        <v>33.33333333333333</v>
      </c>
    </row>
    <row r="279" spans="1:11" s="65" customFormat="1" ht="18" customHeight="1">
      <c r="A279" s="51"/>
      <c r="B279" s="51" t="s">
        <v>261</v>
      </c>
      <c r="C279" s="53">
        <v>2700</v>
      </c>
      <c r="D279" s="53"/>
      <c r="E279" s="53"/>
      <c r="F279" s="18">
        <f t="shared" si="49"/>
        <v>2700</v>
      </c>
      <c r="G279" s="53"/>
      <c r="H279" s="53"/>
      <c r="I279" s="53">
        <v>1000</v>
      </c>
      <c r="J279" s="18">
        <f t="shared" si="47"/>
        <v>1000</v>
      </c>
      <c r="K279" s="19">
        <f t="shared" si="44"/>
        <v>37.03703703703704</v>
      </c>
    </row>
    <row r="280" spans="1:11" s="65" customFormat="1" ht="18" customHeight="1">
      <c r="A280" s="51"/>
      <c r="B280" s="51" t="s">
        <v>262</v>
      </c>
      <c r="C280" s="53">
        <v>4000</v>
      </c>
      <c r="D280" s="53"/>
      <c r="E280" s="53"/>
      <c r="F280" s="18">
        <f t="shared" si="49"/>
        <v>4000</v>
      </c>
      <c r="G280" s="53"/>
      <c r="H280" s="53"/>
      <c r="I280" s="53"/>
      <c r="J280" s="18">
        <f t="shared" si="47"/>
        <v>0</v>
      </c>
      <c r="K280" s="19">
        <f t="shared" si="44"/>
        <v>0</v>
      </c>
    </row>
    <row r="281" spans="1:11" s="65" customFormat="1" ht="18" customHeight="1">
      <c r="A281" s="51"/>
      <c r="B281" s="51" t="s">
        <v>263</v>
      </c>
      <c r="C281" s="53">
        <v>4500</v>
      </c>
      <c r="D281" s="53"/>
      <c r="E281" s="53"/>
      <c r="F281" s="18">
        <f t="shared" si="49"/>
        <v>4500</v>
      </c>
      <c r="G281" s="53"/>
      <c r="H281" s="53">
        <v>2000</v>
      </c>
      <c r="I281" s="53"/>
      <c r="J281" s="18">
        <f t="shared" si="47"/>
        <v>2000</v>
      </c>
      <c r="K281" s="19">
        <f t="shared" si="44"/>
        <v>44.44444444444444</v>
      </c>
    </row>
    <row r="282" spans="1:11" s="65" customFormat="1" ht="18" customHeight="1">
      <c r="A282" s="51"/>
      <c r="B282" s="51" t="s">
        <v>264</v>
      </c>
      <c r="C282" s="53">
        <v>5000</v>
      </c>
      <c r="D282" s="53"/>
      <c r="E282" s="53"/>
      <c r="F282" s="18">
        <f t="shared" si="49"/>
        <v>5000</v>
      </c>
      <c r="G282" s="53"/>
      <c r="H282" s="53"/>
      <c r="I282" s="53">
        <v>2000</v>
      </c>
      <c r="J282" s="18">
        <f t="shared" si="47"/>
        <v>2000</v>
      </c>
      <c r="K282" s="19">
        <f t="shared" si="44"/>
        <v>40</v>
      </c>
    </row>
    <row r="283" spans="1:11" s="65" customFormat="1" ht="18" customHeight="1">
      <c r="A283" s="51"/>
      <c r="B283" s="51" t="s">
        <v>265</v>
      </c>
      <c r="C283" s="53">
        <v>7000</v>
      </c>
      <c r="D283" s="53"/>
      <c r="E283" s="53"/>
      <c r="F283" s="18">
        <f t="shared" si="49"/>
        <v>7000</v>
      </c>
      <c r="G283" s="53"/>
      <c r="H283" s="53">
        <v>2000</v>
      </c>
      <c r="I283" s="53"/>
      <c r="J283" s="18">
        <f t="shared" si="47"/>
        <v>2000</v>
      </c>
      <c r="K283" s="19">
        <f t="shared" si="44"/>
        <v>28.57142857142857</v>
      </c>
    </row>
    <row r="284" spans="1:11" s="65" customFormat="1" ht="18" customHeight="1">
      <c r="A284" s="51"/>
      <c r="B284" s="51" t="s">
        <v>266</v>
      </c>
      <c r="C284" s="53">
        <v>2000</v>
      </c>
      <c r="D284" s="53"/>
      <c r="E284" s="53"/>
      <c r="F284" s="18">
        <f t="shared" si="49"/>
        <v>2000</v>
      </c>
      <c r="G284" s="53"/>
      <c r="H284" s="53"/>
      <c r="I284" s="53"/>
      <c r="J284" s="18">
        <f t="shared" si="47"/>
        <v>0</v>
      </c>
      <c r="K284" s="19">
        <f aca="true" t="shared" si="50" ref="K284:K292">J284/F284*100</f>
        <v>0</v>
      </c>
    </row>
    <row r="285" spans="1:11" s="65" customFormat="1" ht="18" customHeight="1">
      <c r="A285" s="51"/>
      <c r="B285" s="51" t="s">
        <v>267</v>
      </c>
      <c r="C285" s="53">
        <v>1000</v>
      </c>
      <c r="D285" s="53"/>
      <c r="E285" s="53"/>
      <c r="F285" s="18">
        <f t="shared" si="49"/>
        <v>1000</v>
      </c>
      <c r="G285" s="53"/>
      <c r="H285" s="53">
        <f>1000</f>
        <v>1000</v>
      </c>
      <c r="I285" s="53">
        <v>-1.91</v>
      </c>
      <c r="J285" s="18">
        <f t="shared" si="47"/>
        <v>998.09</v>
      </c>
      <c r="K285" s="19">
        <f t="shared" si="50"/>
        <v>99.809</v>
      </c>
    </row>
    <row r="286" spans="1:11" s="65" customFormat="1" ht="18" customHeight="1">
      <c r="A286" s="51"/>
      <c r="B286" s="51" t="s">
        <v>268</v>
      </c>
      <c r="C286" s="53">
        <v>800</v>
      </c>
      <c r="D286" s="53"/>
      <c r="E286" s="53"/>
      <c r="F286" s="18">
        <f t="shared" si="49"/>
        <v>800</v>
      </c>
      <c r="G286" s="53"/>
      <c r="H286" s="53"/>
      <c r="I286" s="53"/>
      <c r="J286" s="18">
        <f aca="true" t="shared" si="51" ref="J286:J292">SUM(G286:I286)</f>
        <v>0</v>
      </c>
      <c r="K286" s="19">
        <f t="shared" si="50"/>
        <v>0</v>
      </c>
    </row>
    <row r="287" spans="1:11" s="64" customFormat="1" ht="18" customHeight="1">
      <c r="A287" s="26"/>
      <c r="B287" s="26" t="s">
        <v>269</v>
      </c>
      <c r="C287" s="27">
        <v>68000</v>
      </c>
      <c r="D287" s="27"/>
      <c r="E287" s="27"/>
      <c r="F287" s="28">
        <f t="shared" si="49"/>
        <v>68000</v>
      </c>
      <c r="G287" s="27"/>
      <c r="H287" s="27"/>
      <c r="I287" s="27">
        <v>415.71</v>
      </c>
      <c r="J287" s="63">
        <f t="shared" si="51"/>
        <v>415.71</v>
      </c>
      <c r="K287" s="29">
        <f t="shared" si="50"/>
        <v>0.6113382352941176</v>
      </c>
    </row>
    <row r="288" spans="1:11" s="64" customFormat="1" ht="24">
      <c r="A288" s="26"/>
      <c r="B288" s="44" t="s">
        <v>270</v>
      </c>
      <c r="C288" s="27">
        <f aca="true" t="shared" si="52" ref="C288:I288">SUM(C289:C291)</f>
        <v>0</v>
      </c>
      <c r="D288" s="27">
        <f t="shared" si="52"/>
        <v>4600</v>
      </c>
      <c r="E288" s="27">
        <f t="shared" si="52"/>
        <v>0</v>
      </c>
      <c r="F288" s="27">
        <f t="shared" si="52"/>
        <v>4600</v>
      </c>
      <c r="G288" s="27">
        <f t="shared" si="52"/>
        <v>0</v>
      </c>
      <c r="H288" s="27">
        <f t="shared" si="52"/>
        <v>0</v>
      </c>
      <c r="I288" s="27">
        <f t="shared" si="52"/>
        <v>0</v>
      </c>
      <c r="J288" s="63">
        <f t="shared" si="51"/>
        <v>0</v>
      </c>
      <c r="K288" s="29">
        <f t="shared" si="50"/>
        <v>0</v>
      </c>
    </row>
    <row r="289" spans="1:11" s="65" customFormat="1" ht="18" customHeight="1">
      <c r="A289" s="51"/>
      <c r="B289" s="52" t="s">
        <v>271</v>
      </c>
      <c r="C289" s="53">
        <v>0</v>
      </c>
      <c r="D289" s="53">
        <v>1500</v>
      </c>
      <c r="E289" s="53"/>
      <c r="F289" s="54">
        <f>SUM(C289:E289)</f>
        <v>1500</v>
      </c>
      <c r="G289" s="53"/>
      <c r="H289" s="53"/>
      <c r="I289" s="53"/>
      <c r="J289" s="45">
        <f t="shared" si="51"/>
        <v>0</v>
      </c>
      <c r="K289" s="19">
        <f t="shared" si="50"/>
        <v>0</v>
      </c>
    </row>
    <row r="290" spans="1:11" s="65" customFormat="1" ht="18" customHeight="1">
      <c r="A290" s="51"/>
      <c r="B290" s="52" t="s">
        <v>272</v>
      </c>
      <c r="C290" s="53">
        <v>0</v>
      </c>
      <c r="D290" s="53">
        <v>2500</v>
      </c>
      <c r="E290" s="53"/>
      <c r="F290" s="54">
        <f>SUM(C290:E290)</f>
        <v>2500</v>
      </c>
      <c r="G290" s="53"/>
      <c r="H290" s="53"/>
      <c r="I290" s="53"/>
      <c r="J290" s="45">
        <f t="shared" si="51"/>
        <v>0</v>
      </c>
      <c r="K290" s="19">
        <f t="shared" si="50"/>
        <v>0</v>
      </c>
    </row>
    <row r="291" spans="1:11" s="65" customFormat="1" ht="18" customHeight="1">
      <c r="A291" s="51"/>
      <c r="B291" s="52" t="s">
        <v>273</v>
      </c>
      <c r="C291" s="53">
        <v>0</v>
      </c>
      <c r="D291" s="53">
        <v>600</v>
      </c>
      <c r="E291" s="53"/>
      <c r="F291" s="54">
        <f>SUM(C291:E291)</f>
        <v>600</v>
      </c>
      <c r="G291" s="53"/>
      <c r="H291" s="53"/>
      <c r="I291" s="53"/>
      <c r="J291" s="45">
        <f t="shared" si="51"/>
        <v>0</v>
      </c>
      <c r="K291" s="19">
        <f t="shared" si="50"/>
        <v>0</v>
      </c>
    </row>
    <row r="292" spans="1:11" s="59" customFormat="1" ht="24.75" customHeight="1">
      <c r="A292" s="9"/>
      <c r="B292" s="66" t="s">
        <v>274</v>
      </c>
      <c r="C292" s="10">
        <f>SUM(C266,C252,C208,C184,C180,C164,C148,C91,C82,C77,C66,C63,C55,C48,C29,C7,C5,C86)</f>
        <v>47763013</v>
      </c>
      <c r="D292" s="10">
        <f>SUM(D266,D252,D208,D184,D180,D164,D148,D91,D82,D77,D66,D63,D55,D48,D29,D7,D5,D86)</f>
        <v>107665</v>
      </c>
      <c r="E292" s="10">
        <f>SUM(E266,E252,E208,E184,E180,E164,E148,E91,E82,E77,E66,E63,E55,E48,E29,E7,E5,E86)</f>
        <v>-23200</v>
      </c>
      <c r="F292" s="10">
        <f>SUM(C292:E292)</f>
        <v>47847478</v>
      </c>
      <c r="G292" s="10">
        <f>SUM(G266,G252,G208,G184,G180,G164,G148,G91,G82,G77,G66,G63,G55,G48,G29,G7,G5,G86)</f>
        <v>433428.04000000004</v>
      </c>
      <c r="H292" s="10">
        <f>SUM(H266,H252,H208,H184,H180,H164,H148,H91,H82,H77,H66,H63,H55,H48,H29,H7,H5,H86)</f>
        <v>247625.86999999997</v>
      </c>
      <c r="I292" s="10">
        <f>SUM(I266,I252,I208,I184,I180,I164,I148,I91,I82,I77,I66,I63,I55,I48,I29,I7,I5,I86)+1</f>
        <v>8768535.039999997</v>
      </c>
      <c r="J292" s="10">
        <f t="shared" si="51"/>
        <v>9449588.949999997</v>
      </c>
      <c r="K292" s="41">
        <f t="shared" si="50"/>
        <v>19.749398181446466</v>
      </c>
    </row>
    <row r="293" spans="2:11" ht="12.75">
      <c r="B293" s="75" t="s">
        <v>275</v>
      </c>
      <c r="C293" s="76"/>
      <c r="D293" s="76"/>
      <c r="E293" s="76"/>
      <c r="F293" s="76"/>
      <c r="G293" s="76"/>
      <c r="H293" s="76"/>
      <c r="I293" s="76"/>
      <c r="J293" s="76"/>
      <c r="K293" s="76"/>
    </row>
  </sheetData>
  <mergeCells count="3">
    <mergeCell ref="I173:I174"/>
    <mergeCell ref="A2:L2"/>
    <mergeCell ref="B293:K293"/>
  </mergeCells>
  <printOptions/>
  <pageMargins left="0.75" right="0.75" top="1" bottom="1" header="0.5" footer="0.5"/>
  <pageSetup horizontalDpi="600" verticalDpi="600" orientation="portrait" paperSize="9" r:id="rId3"/>
  <headerFooter alignWithMargins="0"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Pawel</cp:lastModifiedBy>
  <dcterms:created xsi:type="dcterms:W3CDTF">2006-04-27T08:07:23Z</dcterms:created>
  <dcterms:modified xsi:type="dcterms:W3CDTF">2006-04-27T09:10:46Z</dcterms:modified>
  <cp:category/>
  <cp:version/>
  <cp:contentType/>
  <cp:contentStatus/>
</cp:coreProperties>
</file>