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firstSheet="10" activeTab="11"/>
  </bookViews>
  <sheets>
    <sheet name="dochody 2005 zał.1" sheetId="1" r:id="rId1"/>
    <sheet name="wydatki 2005 zał.2" sheetId="2" r:id="rId2"/>
    <sheet name="dot. otrzym.2005 zał.3" sheetId="3" r:id="rId3"/>
    <sheet name="dot.przek.2005 zał. 3" sheetId="4" r:id="rId4"/>
    <sheet name="admin.2005 zał.4" sheetId="5" r:id="rId5"/>
    <sheet name="poroz.2005 zał.5" sheetId="6" r:id="rId6"/>
    <sheet name="wyd.maj.2005 zał.6 " sheetId="7" r:id="rId7"/>
    <sheet name="GFOSIGW 2005 zał7" sheetId="8" r:id="rId8"/>
    <sheet name="AA  2005 zał.9 " sheetId="9" r:id="rId9"/>
    <sheet name="niedobór 2004 zał.10" sheetId="10" r:id="rId10"/>
    <sheet name="zakł.bud. i śr.sp.2005 zał.11 " sheetId="11" r:id="rId11"/>
    <sheet name="Zał. Nr 13 doch. admin." sheetId="12" r:id="rId12"/>
  </sheets>
  <definedNames>
    <definedName name="_xlnm.Print_Titles" localSheetId="4">'admin.2005 zał.4'!$8:$8</definedName>
    <definedName name="_xlnm.Print_Titles" localSheetId="0">'dochody 2005 zał.1'!$8:$8</definedName>
    <definedName name="_xlnm.Print_Titles" localSheetId="2">'dot. otrzym.2005 zał.3'!$8:$8</definedName>
    <definedName name="_xlnm.Print_Titles" localSheetId="3">'dot.przek.2005 zał. 3'!$7:$7</definedName>
    <definedName name="_xlnm.Print_Titles" localSheetId="5">'poroz.2005 zał.5'!$8:$8</definedName>
    <definedName name="_xlnm.Print_Titles" localSheetId="6">'wyd.maj.2005 zał.6 '!$7:$7</definedName>
    <definedName name="_xlnm.Print_Titles" localSheetId="1">'wydatki 2005 zał.2'!$8:$8</definedName>
  </definedNames>
  <calcPr fullCalcOnLoad="1"/>
</workbook>
</file>

<file path=xl/comments1.xml><?xml version="1.0" encoding="utf-8"?>
<comments xmlns="http://schemas.openxmlformats.org/spreadsheetml/2006/main">
  <authors>
    <author>UM w Trzciance</author>
  </authors>
  <commentList>
    <comment ref="E70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podstawowa1294526
uzupełniająca1396394
</t>
        </r>
      </text>
    </comment>
  </commentList>
</comments>
</file>

<file path=xl/comments2.xml><?xml version="1.0" encoding="utf-8"?>
<comments xmlns="http://schemas.openxmlformats.org/spreadsheetml/2006/main">
  <authors>
    <author>UM w Trzciance</author>
  </authors>
  <commentList>
    <comment ref="E27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300 soł. Stobno
</t>
        </r>
      </text>
    </comment>
    <comment ref="E28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2.000 soł. Stobno
</t>
        </r>
      </text>
    </comment>
    <comment ref="E14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26175 soł.
</t>
        </r>
      </text>
    </comment>
    <comment ref="E16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40.103 soł.
-25.000 remonty bieżące dróg gminnych
</t>
        </r>
      </text>
    </comment>
    <comment ref="E17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30.343 soł.
</t>
        </r>
      </text>
    </comment>
    <comment ref="E35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350 soł
500 cm.Biała
</t>
        </r>
      </text>
    </comment>
    <comment ref="E32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GKUA
</t>
        </r>
      </text>
    </comment>
    <comment ref="E59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1400 soł.
</t>
        </r>
      </text>
    </comment>
    <comment ref="E62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8454-soł.
</t>
        </r>
      </text>
    </comment>
    <comment ref="E71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22738 soł.
</t>
        </r>
      </text>
    </comment>
    <comment ref="E72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2300 soł.
</t>
        </r>
      </text>
    </comment>
    <comment ref="E83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2000 soł.
</t>
        </r>
      </text>
    </comment>
    <comment ref="E127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4000 soł.
</t>
        </r>
      </text>
    </comment>
    <comment ref="E164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1000 soł.
</t>
        </r>
      </text>
    </comment>
    <comment ref="E242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1000 soł.
34000 AA
</t>
        </r>
      </text>
    </comment>
    <comment ref="E260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750 soł.</t>
        </r>
      </text>
    </comment>
    <comment ref="E261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10750 soł.
591.173 oczysz.miasta
54.438 dod.dopis
</t>
        </r>
      </text>
    </comment>
    <comment ref="E263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26496 soł.
3.000 części zam.paliwo kosa
1.000 narzędzia
3000 taśma
</t>
        </r>
      </text>
    </comment>
    <comment ref="E265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5100 soł.
Obsadzenia 15.000
84.673 utrzymanie czystości
</t>
        </r>
      </text>
    </comment>
    <comment ref="E274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15846 soł.
</t>
        </r>
      </text>
    </comment>
    <comment ref="E276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2100 soł.
1.000 tablice
</t>
        </r>
      </text>
    </comment>
    <comment ref="E279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2400 soł.
20.000 szalet
10.500 mel;ioracje
</t>
        </r>
      </text>
    </comment>
    <comment ref="E283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31358 soł.
</t>
        </r>
      </text>
    </comment>
    <comment ref="E284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10300 soł.</t>
        </r>
      </text>
    </comment>
    <comment ref="E285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21360 soł.
</t>
        </r>
      </text>
    </comment>
    <comment ref="E286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1055 soł.
</t>
        </r>
      </text>
    </comment>
    <comment ref="E146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1000 soł.
</t>
        </r>
      </text>
    </comment>
    <comment ref="E29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100.000 wykupy gruntów
</t>
        </r>
      </text>
    </comment>
    <comment ref="E296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11440 soł.
</t>
        </r>
      </text>
    </comment>
    <comment ref="E297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700 soł.
</t>
        </r>
      </text>
    </comment>
    <comment ref="E194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90.000 ub.społ.
3000 wł.
</t>
        </r>
      </text>
    </comment>
    <comment ref="E36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1.000 cm.Biała
</t>
        </r>
      </text>
    </comment>
    <comment ref="E298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4.000 AA 1.500 soł.
</t>
        </r>
      </text>
    </comment>
    <comment ref="E241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11000 AA półkolonie
</t>
        </r>
      </text>
    </comment>
    <comment ref="E209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21284 PPK
</t>
        </r>
      </text>
    </comment>
    <comment ref="E210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1220 PPK
</t>
        </r>
      </text>
    </comment>
    <comment ref="E211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3990 PPK
</t>
        </r>
      </text>
    </comment>
    <comment ref="E212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552 PPK
</t>
        </r>
      </text>
    </comment>
    <comment ref="E213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17000 PPK
</t>
        </r>
      </text>
    </comment>
    <comment ref="E214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5943 PPK
</t>
        </r>
      </text>
    </comment>
    <comment ref="E218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36325 PPK
3000 PPK
</t>
        </r>
      </text>
    </comment>
    <comment ref="E220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500 PPK
</t>
        </r>
      </text>
    </comment>
    <comment ref="E222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720 PPK
</t>
        </r>
      </text>
    </comment>
    <comment ref="E203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19000 AA
531.100 dotacja zl.</t>
        </r>
      </text>
    </comment>
    <comment ref="E278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5000 remont pomostu Stara plaża
</t>
        </r>
      </text>
    </comment>
    <comment ref="E277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1000 woda font.
2.000 woda ppoż
</t>
        </r>
      </text>
    </comment>
    <comment ref="E69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25.038 soł.+210.136 bud
</t>
        </r>
      </text>
    </comment>
    <comment ref="E22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10000 mapy
1500 lasy zm.wyd.
</t>
        </r>
      </text>
    </comment>
    <comment ref="E192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20900 wł.
</t>
        </r>
      </text>
    </comment>
    <comment ref="E195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900 FP wł.
</t>
        </r>
      </text>
    </comment>
    <comment ref="E119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4.000 soł.
42254 śr.spec.
8823799 szkoły
remonty - 50.000
</t>
        </r>
      </text>
    </comment>
    <comment ref="E138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1.000 soł.
272.608 przedszk.
2.746.193 dotacja
</t>
        </r>
      </text>
    </comment>
    <comment ref="E152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1.000 soł.
4.173.058 gimn.
18.899 śr.specj.
50.000 remonty
</t>
        </r>
      </text>
    </comment>
    <comment ref="E254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40000 doeszczowa 
</t>
        </r>
      </text>
    </comment>
    <comment ref="E271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20.000 świąterczne ośw.
</t>
        </r>
      </text>
    </comment>
    <comment ref="E264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3.000 remont muszli
</t>
        </r>
      </text>
    </comment>
    <comment ref="E15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-50.000 remonty bieżące dróg gminnych
po zm.50.000 </t>
        </r>
      </text>
    </comment>
    <comment ref="E228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86.200 śr.specj.
623.347 świtlice
</t>
        </r>
      </text>
    </comment>
    <comment ref="E288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45.000 
20.000 remont
</t>
        </r>
      </text>
    </comment>
    <comment ref="F207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3298 MGOPS
371 PPK
150 Stołówka
</t>
        </r>
      </text>
    </comment>
    <comment ref="G207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3.298 MGOPS
150 stołówka
6.777 PPK
</t>
        </r>
      </text>
    </comment>
    <comment ref="F15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40.000 REMONTY CZĄSTKOWE
</t>
        </r>
      </text>
    </comment>
    <comment ref="F274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12400 OŚW.BIERNATOWO
</t>
        </r>
      </text>
    </comment>
  </commentList>
</comments>
</file>

<file path=xl/comments5.xml><?xml version="1.0" encoding="utf-8"?>
<comments xmlns="http://schemas.openxmlformats.org/spreadsheetml/2006/main">
  <authors>
    <author>UM w Trzciance</author>
  </authors>
  <commentList>
    <comment ref="E27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20.900 wł.
</t>
        </r>
      </text>
    </comment>
    <comment ref="E29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3.000 dopł.wł.
90.000 pobierający św.
</t>
        </r>
      </text>
    </comment>
    <comment ref="E30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900 wł.
</t>
        </r>
      </text>
    </comment>
    <comment ref="E24" authorId="0">
      <text>
        <r>
          <rPr>
            <b/>
            <sz val="8"/>
            <rFont val="Tahoma"/>
            <family val="0"/>
          </rPr>
          <t>UM w Trzciance:</t>
        </r>
        <r>
          <rPr>
            <sz val="8"/>
            <rFont val="Tahoma"/>
            <family val="0"/>
          </rPr>
          <t xml:space="preserve">
24.800 wł.
</t>
        </r>
      </text>
    </comment>
  </commentList>
</comments>
</file>

<file path=xl/sharedStrings.xml><?xml version="1.0" encoding="utf-8"?>
<sst xmlns="http://schemas.openxmlformats.org/spreadsheetml/2006/main" count="926" uniqueCount="354">
  <si>
    <t>dział</t>
  </si>
  <si>
    <t>rozdział</t>
  </si>
  <si>
    <t>§</t>
  </si>
  <si>
    <t>nazwa</t>
  </si>
  <si>
    <t>010</t>
  </si>
  <si>
    <t>Rolnictwo i łowiectwo</t>
  </si>
  <si>
    <t>pozostała działalność</t>
  </si>
  <si>
    <t>wpływy z innych lokalnych opłat pobieranych przez jednostki samorządu terytorialnego na podstawie odrębnych ustaw</t>
  </si>
  <si>
    <t>020</t>
  </si>
  <si>
    <t>Leśnictwo</t>
  </si>
  <si>
    <t>02095</t>
  </si>
  <si>
    <t>700</t>
  </si>
  <si>
    <t>Gospodarka mieszkaniowa</t>
  </si>
  <si>
    <t>70005</t>
  </si>
  <si>
    <t>wpływy z opłat za zarząd, użytkowanie                                              i użytkowanie wieczyste nieruchomości</t>
  </si>
  <si>
    <t>pozostałe odsetki</t>
  </si>
  <si>
    <t>wpływy z różnych dochodów</t>
  </si>
  <si>
    <t>710</t>
  </si>
  <si>
    <t>cmentarze</t>
  </si>
  <si>
    <t>750</t>
  </si>
  <si>
    <t xml:space="preserve">Administracja publiczna </t>
  </si>
  <si>
    <t>urzędy wojewódzkie</t>
  </si>
  <si>
    <t>dotacje celowe otrzymane z budżetu państwa na realizację zadań bieżących z zakresu administracji rządowej oraz innych zadań zleconych gminie (związkom gmin) ustawami</t>
  </si>
  <si>
    <t>75023</t>
  </si>
  <si>
    <t>urzędy gmin (miast i miast na prawach powiatu)</t>
  </si>
  <si>
    <t xml:space="preserve">Urzędy naczelnych organów władzy państwowej, kontroli i ochrony prawa oraz sądownictwa </t>
  </si>
  <si>
    <t>urzędy naczelnych organów władzy państwowej, kontroli i ochrony prawa</t>
  </si>
  <si>
    <t>754</t>
  </si>
  <si>
    <t>Bezpieczeństwo publiczne i ochrona przeciwpożarowa</t>
  </si>
  <si>
    <t>75414</t>
  </si>
  <si>
    <t>obrona cywilna</t>
  </si>
  <si>
    <t>75416</t>
  </si>
  <si>
    <t>straż miejska</t>
  </si>
  <si>
    <t xml:space="preserve">grzywny, mandaty i inne kary pieniężne od ludności </t>
  </si>
  <si>
    <t>756</t>
  </si>
  <si>
    <t>Dochody od osób prawnych, od osób fizycznych i od innych jednostek nie posiadających osobowości prawnej</t>
  </si>
  <si>
    <t xml:space="preserve">wpływy z podatku dochodowego od osób fizycznych </t>
  </si>
  <si>
    <t>podatek od działalności gospodarczej osób fizycznych, opłacany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</si>
  <si>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</si>
  <si>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</si>
  <si>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</si>
  <si>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</si>
  <si>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</si>
  <si>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wpływy z opłaty eksploatacyjnej</t>
  </si>
  <si>
    <t>odsetki z tytułu nieterminowych wpłat z tytułu podatków i opłat</t>
  </si>
  <si>
    <t>podatek od spadków i darowizn</t>
  </si>
  <si>
    <t>podatek od posiadania psów</t>
  </si>
  <si>
    <t>wpływy z opłaty targowej</t>
  </si>
  <si>
    <t>wpływy z opłaty miejscowej</t>
  </si>
  <si>
    <t>wpływy z opłaty administracyjnej za czynności urzędowe</t>
  </si>
  <si>
    <t>podatek od czynności cywilnoprawnych</t>
  </si>
  <si>
    <t>75618</t>
  </si>
  <si>
    <t>wpływy z innych opłat stanowiących dochody jednostek samorządu terytorialnego na podstawie ustaw</t>
  </si>
  <si>
    <t>wpływy z opłaty skarbowej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</si>
  <si>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</si>
  <si>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</si>
  <si>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</si>
  <si>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</si>
  <si>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</si>
  <si>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</si>
  <si>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</si>
  <si>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</si>
  <si>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subwencje ogólne z budżetu państwa</t>
  </si>
  <si>
    <t>różne rozliczenia finansowe</t>
  </si>
  <si>
    <t>szkoły podstawowe</t>
  </si>
  <si>
    <t>gimnazja</t>
  </si>
  <si>
    <t>dotacje celowe otrzymane z powiatu na zadania bieżące realizowane na podstawie porozumień  między jednostkami samorządu terytorialnego</t>
  </si>
  <si>
    <t>Ochrona zdrowia</t>
  </si>
  <si>
    <t>przeciwdziałanie alkoholizmowi</t>
  </si>
  <si>
    <t>wpływy z opłat za zezwolenia na sprzedaż alkoholu</t>
  </si>
  <si>
    <t>dochody z najmu i dzierżawy składników majątkowych Skarbu Państwa, jednostek samorządu terytorialnego lub  innych jednostek zaliczanych do sektora finansów publicznych oraz innych umów o podobnym charakterze</t>
  </si>
  <si>
    <t xml:space="preserve">zasiłki i pomoc w naturze oraz składki na ubezpieczenia społeczne </t>
  </si>
  <si>
    <t>dodatki mieszkaniowe</t>
  </si>
  <si>
    <t>ośrodki pomocy społecznej</t>
  </si>
  <si>
    <t>Edukacyjna opieka wychowawcza</t>
  </si>
  <si>
    <t>świetlice szkolne</t>
  </si>
  <si>
    <t>Gospodarka komunalna i ochrona środowiska</t>
  </si>
  <si>
    <t>gospodarka ściekowa i ochrona wód</t>
  </si>
  <si>
    <t>dywidendy i kwoty ze zbycia praw majątkowych</t>
  </si>
  <si>
    <t>921</t>
  </si>
  <si>
    <t>92116</t>
  </si>
  <si>
    <t>biblioteki</t>
  </si>
  <si>
    <t>Kultura fizyczna i sport</t>
  </si>
  <si>
    <t>zadania w zakresie kultury fizycznej i sportu</t>
  </si>
  <si>
    <t>razem</t>
  </si>
  <si>
    <t>kwota</t>
  </si>
  <si>
    <t xml:space="preserve">Kultura i ochrona dziedzictwa narodowego </t>
  </si>
  <si>
    <t>01030</t>
  </si>
  <si>
    <t>izby rolnicze</t>
  </si>
  <si>
    <t>wpłaty gmin na rzecz izb rolniczych w wysokości 2% uzyskanych wpływów z podatku rolnego</t>
  </si>
  <si>
    <t>zakup materiałów i wyposażenia</t>
  </si>
  <si>
    <t>wydatki inwestycyjne jednostek budżetowych</t>
  </si>
  <si>
    <t>600</t>
  </si>
  <si>
    <t>Transport i łączność</t>
  </si>
  <si>
    <t>60016</t>
  </si>
  <si>
    <t>drogi publiczne gminne</t>
  </si>
  <si>
    <t>zakup usług remontowych</t>
  </si>
  <si>
    <t>zakup usług pozostałych</t>
  </si>
  <si>
    <t>Działalność usługowa</t>
  </si>
  <si>
    <t>71004</t>
  </si>
  <si>
    <t>plany zagospodarowania przestrzennego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</si>
  <si>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</si>
  <si>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</si>
  <si>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</si>
  <si>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</si>
  <si>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</si>
  <si>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</si>
  <si>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różne wydatki na rzecz osób fizycznych</t>
  </si>
  <si>
    <t>podróże służbowe krajowe</t>
  </si>
  <si>
    <t>75022</t>
  </si>
  <si>
    <t xml:space="preserve">zakup materiałów i wyposażenia </t>
  </si>
  <si>
    <t>podróże służbowe zagraniczne</t>
  </si>
  <si>
    <t>różne opłaty i składki</t>
  </si>
  <si>
    <t>zakup energii</t>
  </si>
  <si>
    <t>wydatki  inwestycyjne jednostek budżetowych</t>
  </si>
  <si>
    <t>wydatki na zakupy inwestycyjne jednostek budżetowych</t>
  </si>
  <si>
    <t>75095</t>
  </si>
  <si>
    <t>wynagrodzenia agencyjno-prowizyjne</t>
  </si>
  <si>
    <t>Urzędy naczelnych organów władzy państwowej, kontroli i ochrony prawa oraz sądownictwa</t>
  </si>
  <si>
    <t>Bezpieczeństwo publiczne                                                                       i ochrona przeciwpożarowa</t>
  </si>
  <si>
    <t>75412</t>
  </si>
  <si>
    <t>ochotnicze straże pożarne</t>
  </si>
  <si>
    <t xml:space="preserve">obrona cywilna 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</si>
  <si>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</si>
  <si>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</si>
  <si>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</si>
  <si>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</si>
  <si>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</si>
  <si>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odsetki i dyskonto od krajowych skarbowych papierów wartościowych oraz pożyczek i kredytów</t>
  </si>
  <si>
    <t>75818</t>
  </si>
  <si>
    <t>rezerwy ogólne i celowe</t>
  </si>
  <si>
    <t xml:space="preserve">rezerwy </t>
  </si>
  <si>
    <t>801</t>
  </si>
  <si>
    <t>Oświata i wychowanie</t>
  </si>
  <si>
    <t>80101</t>
  </si>
  <si>
    <t>świadczenia społeczne</t>
  </si>
  <si>
    <t>zakup leków i materiałów medycznych</t>
  </si>
  <si>
    <t>80104</t>
  </si>
  <si>
    <t>odpisy na zakłdowy fundusz świadczeń socjalnych</t>
  </si>
  <si>
    <t xml:space="preserve">80110 </t>
  </si>
  <si>
    <t>80113</t>
  </si>
  <si>
    <t>dowożenie uczniów do szkół</t>
  </si>
  <si>
    <t>851</t>
  </si>
  <si>
    <t>85154</t>
  </si>
  <si>
    <t>składki na ubezpieczenia zdrowotne</t>
  </si>
  <si>
    <t>usługi opiekuńcze i specjalistyczne usługi opiekuńcze</t>
  </si>
  <si>
    <t>854</t>
  </si>
  <si>
    <t>zakup pomocy naukowych, dydaktycznych i książek</t>
  </si>
  <si>
    <t xml:space="preserve">przedszkola </t>
  </si>
  <si>
    <t xml:space="preserve">dotacja podmiotowa z budżetu dla zakładu budżetowego </t>
  </si>
  <si>
    <t>85412</t>
  </si>
  <si>
    <t>kolonie i obozy  oraz inne formy wypoczynku dzieci i młodzieży szkolnej</t>
  </si>
  <si>
    <t>900</t>
  </si>
  <si>
    <t>90001</t>
  </si>
  <si>
    <t>90003</t>
  </si>
  <si>
    <t>oczyszczanie miast i wsi</t>
  </si>
  <si>
    <t>90004</t>
  </si>
  <si>
    <t>90005</t>
  </si>
  <si>
    <t>ochrona powietrza atmosferycznego i klimatu</t>
  </si>
  <si>
    <t>opłaty na rzecz budżetów jednostek samorządu terytorialnego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</si>
  <si>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</si>
  <si>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</si>
  <si>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</si>
  <si>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</si>
  <si>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</si>
  <si>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</si>
  <si>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</si>
  <si>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dotacja podmiotowa z budżetu dla instytucji kultury</t>
  </si>
  <si>
    <t>92118</t>
  </si>
  <si>
    <t>muzea</t>
  </si>
  <si>
    <t>926</t>
  </si>
  <si>
    <t>plan</t>
  </si>
  <si>
    <t xml:space="preserve">Bezpieczeństwo publiczne i ochrona przeciwpożarowa </t>
  </si>
  <si>
    <t xml:space="preserve">zasiłki i pomoc w naturze oraz składki na ubezpieczenia społeczne    </t>
  </si>
  <si>
    <t>Kultura i ochrona dziedzictwa narodowego - porozumienie</t>
  </si>
  <si>
    <t xml:space="preserve">plan </t>
  </si>
  <si>
    <t>przychody</t>
  </si>
  <si>
    <t>rozchody</t>
  </si>
  <si>
    <t>saldo</t>
  </si>
  <si>
    <t>spłaty otrzymanych krajowych pożyczek i kredytów</t>
  </si>
  <si>
    <t>Gminne Przedszkola Publiczne</t>
  </si>
  <si>
    <t>Starostwo Powiatowe - utrzymanie hali sportowo-widowiskowej przy L.O. w Trzciance</t>
  </si>
  <si>
    <t>Trzcianecki Dom Kultury</t>
  </si>
  <si>
    <t>Biblioteka Publiczna Miasta i Gminy im. Kazimiery Iłłakowiczówny</t>
  </si>
  <si>
    <t>Muzeum Ziemi Nadnoteckiej im. Wiktora Stachowiaka</t>
  </si>
  <si>
    <t xml:space="preserve">Bezpieczeństwo publiczne                                                i ochrona przeciwpożarowa </t>
  </si>
  <si>
    <t>wykup gruntów</t>
  </si>
  <si>
    <t>zakup sprzętu komputerowego i oprogramowania</t>
  </si>
  <si>
    <t>Fundusz Ochrony Środowiska i Gospodarki Wodnej</t>
  </si>
  <si>
    <t>fundusz obrotowy na początek roku</t>
  </si>
  <si>
    <t>wpływy z różnych opłat</t>
  </si>
  <si>
    <t>zakup worków na nieczystości</t>
  </si>
  <si>
    <t>wywóz pojemników na szkło i plastiki</t>
  </si>
  <si>
    <t>popularyzacja wiedzy o środowisku</t>
  </si>
  <si>
    <t>wywóz kontenerów na wsiach</t>
  </si>
  <si>
    <t xml:space="preserve">zasiłki i pomoc w naturze oraz składki na ubezpieczenia społeczne  </t>
  </si>
  <si>
    <t>lp.</t>
  </si>
  <si>
    <t>w tym:</t>
  </si>
  <si>
    <t xml:space="preserve">w tym: </t>
  </si>
  <si>
    <t>na początek roku</t>
  </si>
  <si>
    <t>dotacje</t>
  </si>
  <si>
    <t>pozostałe wydatki</t>
  </si>
  <si>
    <t>na koniec roku</t>
  </si>
  <si>
    <t>Dochody z tytułu opłat za wydawanie zezwoleń na sprzedaż napojów alkoholowych</t>
  </si>
  <si>
    <t>remont Ratusza</t>
  </si>
  <si>
    <t>Załącznik Nr 4</t>
  </si>
  <si>
    <t xml:space="preserve">wpływy z innych opłat stanowiacych dochody jednostek samorządu terytorialnego na podstawie ustaw </t>
  </si>
  <si>
    <t>opłaty na rzecz budżetu państwa</t>
  </si>
  <si>
    <t>Rady Miejskiej Trzcianki</t>
  </si>
  <si>
    <t>przychody z zaciagniętych pożyczek i kredytów na rynku krajowym</t>
  </si>
  <si>
    <t>dochody budżetu państwa związane z realizacją zadań zlecanych jednostkom samorządu terytorialnego</t>
  </si>
  <si>
    <t>Załącznik Nr 13</t>
  </si>
  <si>
    <t>dokształcanie i doskonalenie nauczycieli</t>
  </si>
  <si>
    <t>gospodarka gruntami i nieruchomościami</t>
  </si>
  <si>
    <t>rady gmin (miast i miast na prawach powiatu)</t>
  </si>
  <si>
    <t>dotacje celowe przekazane dla powiatu na zadania bieżące realizowane na podstawie porozumień (umów) między jednostkami samorządu terytorialnego</t>
  </si>
  <si>
    <t>domy i ośrodki kultury, świetlice i kluby</t>
  </si>
  <si>
    <t>utrzymanie zieleni w miastach i gminach</t>
  </si>
  <si>
    <t>dotacje celowe otrzymane z budżetu państwa na realizację zadań bieżących z zakresu administracji rządowej oraz innych zadań zleconych gminie(zwiazkom gmin) ustawami</t>
  </si>
  <si>
    <t>rezerwy</t>
  </si>
  <si>
    <t>dotacje celowe przekazane dla powiatu na zadania bieżące realizowane na podstawie porozumień między jednostkami samorządu terytorialnego</t>
  </si>
  <si>
    <t>środki obrotowe</t>
  </si>
  <si>
    <t>do Uchwały Nr</t>
  </si>
  <si>
    <t>Dochody od osób prawnych, od osób fizycznych i od innych jednostek nieposiadających osobowości prawnej oraz wydatki związane z ich poborem</t>
  </si>
  <si>
    <t xml:space="preserve">wpływy z podatku rolnego, podatku leśnego, podatku od czynności cywilnoprawnych, podatku od spadków i darowizn oraz podatków i opłat lokalnych </t>
  </si>
  <si>
    <t>852</t>
  </si>
  <si>
    <t>85214</t>
  </si>
  <si>
    <t>85219</t>
  </si>
  <si>
    <t>85295</t>
  </si>
  <si>
    <t>kolonie i obozy  oraz inne formy wypoczynku dzieci i młodzieży szkolnej, a także szkolenia młodzieży</t>
  </si>
  <si>
    <t>pomoc materialna dla uczniów</t>
  </si>
  <si>
    <t>0490</t>
  </si>
  <si>
    <t>0470</t>
  </si>
  <si>
    <t>0750</t>
  </si>
  <si>
    <t>0920</t>
  </si>
  <si>
    <t>0970</t>
  </si>
  <si>
    <t>0570</t>
  </si>
  <si>
    <t>0350</t>
  </si>
  <si>
    <t>0910</t>
  </si>
  <si>
    <t>0310</t>
  </si>
  <si>
    <t>0320</t>
  </si>
  <si>
    <t>0330</t>
  </si>
  <si>
    <t>0340</t>
  </si>
  <si>
    <t>0360</t>
  </si>
  <si>
    <t>0370</t>
  </si>
  <si>
    <t>0430</t>
  </si>
  <si>
    <t>0440</t>
  </si>
  <si>
    <t>0450</t>
  </si>
  <si>
    <t>0460</t>
  </si>
  <si>
    <t>0500</t>
  </si>
  <si>
    <t>0410</t>
  </si>
  <si>
    <t>0010</t>
  </si>
  <si>
    <t>0020</t>
  </si>
  <si>
    <t>0740</t>
  </si>
  <si>
    <t>0480</t>
  </si>
  <si>
    <t>2010</t>
  </si>
  <si>
    <t xml:space="preserve"> płace
 i pochodne</t>
  </si>
  <si>
    <t>budowa chodnika w Białej</t>
  </si>
  <si>
    <t>zakup środków żywności</t>
  </si>
  <si>
    <t>pobór podatków, opłat i niepodatkowych należności budżetowych</t>
  </si>
  <si>
    <t>Towarzystwa budownictwa społecznego</t>
  </si>
  <si>
    <t>budowa dróg na os. Fałata</t>
  </si>
  <si>
    <t>fundusz obrotowy na koniec roku</t>
  </si>
  <si>
    <t>koszty postępowania sądowego i prokuratorskiego</t>
  </si>
  <si>
    <t>0690</t>
  </si>
  <si>
    <t xml:space="preserve">Oświetlenie w Łomnicy </t>
  </si>
  <si>
    <t xml:space="preserve">dotacja podmiotowa z budżetu dla niepublicznej jednostki systemu oświaty </t>
  </si>
  <si>
    <t>dotacja podmiotowa dla niepublicznej jednostki systemu oświaty</t>
  </si>
  <si>
    <t>Prywatna Katolicka Szkoła Podstawowa im. Św. Siosty Faustyny</t>
  </si>
  <si>
    <t>Starostwo Powiatowe</t>
  </si>
  <si>
    <t>dochody jednostek samorządu terytorialnego związane z realizacją zadań z zakresu administracji rządowej oraz innych zadań zleconych ustawami</t>
  </si>
  <si>
    <t>dotacje otrzymane z funduszy celowych na realizację zadań bieżących jednostek sektora finansów publicznych</t>
  </si>
  <si>
    <t>część wyrównawcza subwencji ogólnej dla gmin</t>
  </si>
  <si>
    <t>75807</t>
  </si>
  <si>
    <t>składki na ubezpieczenie zdrowotne opłacane za osoby pobierające niektóre świadczenia z pomocy społecznej oraz niektóre świadczenia rodzinne</t>
  </si>
  <si>
    <t>szpitale ogólne</t>
  </si>
  <si>
    <t>świadczenia rodzinne oraz skłądki na ubezpieczenia emerytalne i rentowe z ubezpieczenia społecznego</t>
  </si>
  <si>
    <t xml:space="preserve">Pomoc społeczna </t>
  </si>
  <si>
    <t>Pomoc społeczna</t>
  </si>
  <si>
    <t>wydatki na pomoc finansową udzialaną między jednostkami samorządu terytorialnego na dofinansowanie własnych zadań inwestycyjnych i zakupów inwestycyjnych</t>
  </si>
  <si>
    <t>pomoc dla powiatu czarnkowsko - trzcianeckiego na zakup sprzętu szpitalnego</t>
  </si>
  <si>
    <t xml:space="preserve">Przychody Gminnego Funduszu Ochrony Środowiska i Gospodarki Wodnej </t>
  </si>
  <si>
    <t xml:space="preserve">Wydatki Gminnego Funduszu Ochrony Środowiska  i Gospodarki Wodnej </t>
  </si>
  <si>
    <t>dotacje celowe otrzymane z budżetu państwa na realizację własnych zadań bieżących gmin (związków gmin)</t>
  </si>
  <si>
    <t xml:space="preserve">przedszkola - plan </t>
  </si>
  <si>
    <t xml:space="preserve">dokształcanie i doskanalenie nauczycieli - plan </t>
  </si>
  <si>
    <t xml:space="preserve">Wydatki na realizację zadań określonych
w programie profilaktyki i rozwiązywania problemów alkoholowych </t>
  </si>
  <si>
    <t xml:space="preserve">Dochody 2005 </t>
  </si>
  <si>
    <t>Załącznik Nr 1</t>
  </si>
  <si>
    <t>z dnia</t>
  </si>
  <si>
    <t>odsetki od nieterminowych wpłat z tytułu podatków 
i opłat</t>
  </si>
  <si>
    <t xml:space="preserve">Wydatki 2005 </t>
  </si>
  <si>
    <t>Załącznik Nr 2</t>
  </si>
  <si>
    <t xml:space="preserve">Dotacje 2005 - otrzymywane do budżetu </t>
  </si>
  <si>
    <t>Załącznik Nr 3</t>
  </si>
  <si>
    <t xml:space="preserve">Dotacje 2005 - przekazywane z budżetu                          </t>
  </si>
  <si>
    <t>Wydatki 2005 związane z realizacją zadań
z zakresu administracji rządowej i innych zadań zleconych ustawami</t>
  </si>
  <si>
    <t>Wydatki 2005 związane z realizacją zadań wspólnych realizowanych 
w drodze umów lub porozumień między jednostkami samorządu terytorialnego</t>
  </si>
  <si>
    <t>Załącznik Nr 5</t>
  </si>
  <si>
    <t>Przychody i wydatki 2005 Gminnego Funduszu Ochrony Środowiska i Gospodarki Wodnej</t>
  </si>
  <si>
    <t>Załącznik Nr 6</t>
  </si>
  <si>
    <t>Załącznik Nr 7</t>
  </si>
  <si>
    <t xml:space="preserve">Dochody 2005 z tytułu opłat za wydawanie zezwoleń na sprzedaż napojów alkoholowych oraz wydatki na realizację zadań określonych w programie profilaktyki i rozwiązywania problemów alkoholowych </t>
  </si>
  <si>
    <t>Załącznik Nr 9</t>
  </si>
  <si>
    <t>Plan przychodów i rozchodów 2005</t>
  </si>
  <si>
    <t>Załącznik Nr 10</t>
  </si>
  <si>
    <t>Załącznik Nr 11</t>
  </si>
  <si>
    <t>Dochody 2005 związane z realizacją zadań z zakresu administracji rządowej i innych zadań zleconych ustawami</t>
  </si>
  <si>
    <t>wpływy ze sprzedaży składników majątkowych</t>
  </si>
  <si>
    <t>dotacja podmiotowa z budżetu dla samorządowej instytucji kultury</t>
  </si>
  <si>
    <t>biblioteki - porozumienia</t>
  </si>
  <si>
    <t xml:space="preserve"> wydatki osobowe niezaliczone do wynagrodzeń</t>
  </si>
  <si>
    <t>stypendia dla uczniów</t>
  </si>
  <si>
    <t xml:space="preserve">wynagrodzenia bezosobowe </t>
  </si>
  <si>
    <t xml:space="preserve">wpływy z podatku rolnego, podatku leśnego, podatku od czynności cywilnoprawnych, podatków i opłat lokalnych od osób prawnych i innych jednostek organizacyjnych </t>
  </si>
  <si>
    <t xml:space="preserve">wpływy z podatku rolnego, podatku leśnego,podatku od spadków i darowizn, podatku od czynności cywilnoprawnych oraz podatków i opłat lokalnych od osób fizycznych </t>
  </si>
  <si>
    <t xml:space="preserve">Oświetlenie w Niekursku </t>
  </si>
  <si>
    <t xml:space="preserve">Oświetlenie w Nowej Wsi </t>
  </si>
  <si>
    <t xml:space="preserve">Oświetlenie w Radolinie </t>
  </si>
  <si>
    <t>Oświetlenie w Stobnie</t>
  </si>
  <si>
    <t xml:space="preserve"> DOTACJE NA WYDATKI BIEŻĄCE</t>
  </si>
  <si>
    <t>wynagrodzenia bezosobowe</t>
  </si>
  <si>
    <t>opłaty za usługi internetowe</t>
  </si>
  <si>
    <t>monitoring na składowisku</t>
  </si>
  <si>
    <t>utrzymanie terenów zielonych nad jeziorem Sarcz, Logo, Park Grottgera</t>
  </si>
  <si>
    <t>zakup elementów do monitorowania miasta</t>
  </si>
  <si>
    <t>wydatki
inwestycyjne</t>
  </si>
  <si>
    <t>Przedszkole przy Prywatnej Katolickiej Szkole Podstawowej 
im. Św. Siostry Faustyny</t>
  </si>
  <si>
    <t>0830</t>
  </si>
  <si>
    <t>wpływy z usług</t>
  </si>
  <si>
    <t>Plany przychodów i rozchodów zakładów budżetowych na 2005 rok</t>
  </si>
  <si>
    <t>wynagrodzenie bezosobowe</t>
  </si>
  <si>
    <t>budowa kanalizacji sanitarnej i deszczowej oraz rozbudowa oczyszczalni ścieków w Gminie Trzcianka</t>
  </si>
  <si>
    <t>0870</t>
  </si>
  <si>
    <t>środki na dofinansowanie własnych inwestycji gmin (związków gmin) powiatów (związków powiatów), samorządów województw, pozyskane z innych źródeł</t>
  </si>
  <si>
    <t>nasadzenia drzew i krzewów</t>
  </si>
  <si>
    <t xml:space="preserve">Wydatki majątkowe 2005 </t>
  </si>
  <si>
    <t>zwiększenia</t>
  </si>
  <si>
    <t>zmniejszenia</t>
  </si>
  <si>
    <t>instytucje kultury fizycznej</t>
  </si>
  <si>
    <t>wynagordzenia bezosobowe</t>
  </si>
  <si>
    <t xml:space="preserve">zmniejszenia </t>
  </si>
  <si>
    <t>zmiany</t>
  </si>
  <si>
    <t>wykup innych papierów wartościowych</t>
  </si>
  <si>
    <t>zakup usług zdrowotnych</t>
  </si>
  <si>
    <t xml:space="preserve">zwiększenia </t>
  </si>
  <si>
    <t>zmiana</t>
  </si>
  <si>
    <t>rezerwy na inwestycje i zakupy inwestycyjne</t>
  </si>
  <si>
    <t>Oświetlenie w Biernatowie</t>
  </si>
  <si>
    <t>świadczenia rodzinne oraz skłądki na ubezpieczenia emerytalne i rentowe 
z ubezpieczenia społecznego</t>
  </si>
  <si>
    <t>rezerwa na inwestycje realizowane wspólnie 
z Wojewódzkim Zarządem Dróg</t>
  </si>
  <si>
    <t>budowa budynku mieszkalnego przy 
ul. Chopina w Trzciance</t>
  </si>
  <si>
    <t>do Uchwały Nr XXXIII/233/05</t>
  </si>
  <si>
    <t>z dnia 10 lutego 2005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</si>
</sst>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</numFmts>
  <fonts count="17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b/>
      <i/>
      <sz val="8"/>
      <name val="Arial CE"/>
      <family val="2"/>
    </font>
    <font>
      <sz val="7"/>
      <name val="Arial CE"/>
      <family val="2"/>
    </font>
    <font>
      <i/>
      <sz val="8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9"/>
      <name val="Arial CE"/>
      <family val="2"/>
    </font>
    <font>
      <b/>
      <i/>
      <sz val="7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" xfId="0" applyFont="1" applyBorder="1" applyAlignment="1" quotePrefix="1">
      <alignment horizontal="center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3" xfId="0" applyFont="1" applyFill="1" applyBorder="1" applyAlignment="1" quotePrefix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 indent="1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 quotePrefix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1" xfId="0" applyFont="1" applyFill="1" applyBorder="1" applyAlignment="1" quotePrefix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3" fillId="0" borderId="0" xfId="0" applyFont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 indent="1"/>
    </xf>
    <xf numFmtId="0" fontId="4" fillId="3" borderId="0" xfId="0" applyFont="1" applyFill="1" applyAlignment="1">
      <alignment/>
    </xf>
    <xf numFmtId="0" fontId="4" fillId="3" borderId="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Fill="1" applyBorder="1" applyAlignment="1" quotePrefix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 indent="1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 wrapText="1"/>
    </xf>
    <xf numFmtId="0" fontId="4" fillId="0" borderId="0" xfId="0" applyFont="1" applyFill="1" applyAlignment="1">
      <alignment horizontal="left" vertical="center" indent="1"/>
    </xf>
    <xf numFmtId="0" fontId="3" fillId="3" borderId="1" xfId="0" applyFont="1" applyFill="1" applyBorder="1" applyAlignment="1" quotePrefix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4" fontId="3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 indent="1"/>
    </xf>
    <xf numFmtId="4" fontId="3" fillId="0" borderId="0" xfId="0" applyNumberFormat="1" applyFont="1" applyAlignment="1">
      <alignment/>
    </xf>
    <xf numFmtId="4" fontId="4" fillId="0" borderId="0" xfId="0" applyNumberFormat="1" applyFont="1" applyFill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4" fontId="4" fillId="0" borderId="0" xfId="0" applyNumberFormat="1" applyFont="1" applyAlignment="1">
      <alignment horizontal="right" vertical="center"/>
    </xf>
    <xf numFmtId="0" fontId="6" fillId="0" borderId="1" xfId="0" applyFont="1" applyFill="1" applyBorder="1" applyAlignment="1" quotePrefix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2" borderId="10" xfId="0" applyFont="1" applyFill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 indent="1"/>
    </xf>
    <xf numFmtId="0" fontId="7" fillId="2" borderId="15" xfId="0" applyFont="1" applyFill="1" applyBorder="1" applyAlignment="1">
      <alignment horizontal="left" vertical="center" indent="1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indent="1"/>
    </xf>
    <xf numFmtId="4" fontId="11" fillId="0" borderId="1" xfId="0" applyNumberFormat="1" applyFont="1" applyFill="1" applyBorder="1" applyAlignment="1">
      <alignment horizontal="right" vertical="center" wrapText="1"/>
    </xf>
    <xf numFmtId="0" fontId="11" fillId="0" borderId="3" xfId="0" applyFont="1" applyFill="1" applyBorder="1" applyAlignment="1" quotePrefix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4" fontId="11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 indent="1"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right" vertical="center"/>
    </xf>
    <xf numFmtId="4" fontId="3" fillId="3" borderId="0" xfId="0" applyNumberFormat="1" applyFont="1" applyFill="1" applyAlignment="1">
      <alignment vertical="center"/>
    </xf>
    <xf numFmtId="4" fontId="4" fillId="0" borderId="1" xfId="0" applyNumberFormat="1" applyFont="1" applyFill="1" applyBorder="1" applyAlignment="1" quotePrefix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 indent="1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 quotePrefix="1">
      <alignment horizontal="center" vertical="center" wrapText="1"/>
    </xf>
    <xf numFmtId="0" fontId="2" fillId="3" borderId="0" xfId="0" applyFont="1" applyFill="1" applyAlignment="1">
      <alignment/>
    </xf>
    <xf numFmtId="164" fontId="4" fillId="3" borderId="0" xfId="0" applyNumberFormat="1" applyFont="1" applyFill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 indent="1"/>
    </xf>
    <xf numFmtId="164" fontId="3" fillId="3" borderId="1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left" vertical="center" wrapText="1" indent="1"/>
    </xf>
    <xf numFmtId="0" fontId="2" fillId="3" borderId="1" xfId="0" applyFont="1" applyFill="1" applyBorder="1" applyAlignment="1" quotePrefix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 quotePrefix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/>
    </xf>
    <xf numFmtId="0" fontId="2" fillId="0" borderId="3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2" xfId="0" applyFont="1" applyFill="1" applyBorder="1" applyAlignment="1" quotePrefix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vertical="center"/>
    </xf>
    <xf numFmtId="0" fontId="2" fillId="0" borderId="3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 quotePrefix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 quotePrefix="1">
      <alignment horizontal="center" vertical="center" wrapText="1"/>
    </xf>
    <xf numFmtId="0" fontId="2" fillId="3" borderId="1" xfId="0" applyFont="1" applyFill="1" applyBorder="1" applyAlignment="1" quotePrefix="1">
      <alignment horizontal="center" vertical="center"/>
    </xf>
    <xf numFmtId="0" fontId="2" fillId="3" borderId="3" xfId="0" applyFont="1" applyFill="1" applyBorder="1" applyAlignment="1" quotePrefix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 quotePrefix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1"/>
    </xf>
    <xf numFmtId="164" fontId="2" fillId="3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164" fontId="2" fillId="3" borderId="1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3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4" fillId="0" borderId="1" xfId="0" applyFont="1" applyFill="1" applyBorder="1" applyAlignment="1" quotePrefix="1">
      <alignment horizontal="right" vertical="center" wrapText="1"/>
    </xf>
    <xf numFmtId="0" fontId="4" fillId="0" borderId="3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4" fontId="11" fillId="0" borderId="2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/>
    </xf>
    <xf numFmtId="4" fontId="11" fillId="0" borderId="2" xfId="0" applyNumberFormat="1" applyFont="1" applyFill="1" applyBorder="1" applyAlignment="1" quotePrefix="1">
      <alignment horizontal="righ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 quotePrefix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 indent="1"/>
    </xf>
    <xf numFmtId="4" fontId="11" fillId="3" borderId="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7" fillId="3" borderId="4" xfId="0" applyFont="1" applyFill="1" applyBorder="1" applyAlignment="1" quotePrefix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0" xfId="0" applyFont="1" applyFill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4" fontId="5" fillId="0" borderId="0" xfId="0" applyNumberFormat="1" applyFont="1" applyAlignment="1">
      <alignment/>
    </xf>
    <xf numFmtId="4" fontId="11" fillId="0" borderId="17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 quotePrefix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 quotePrefix="1">
      <alignment horizontal="center" vertical="center" wrapText="1"/>
    </xf>
    <xf numFmtId="164" fontId="3" fillId="3" borderId="1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 quotePrefix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 wrapText="1"/>
    </xf>
    <xf numFmtId="0" fontId="11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/>
    </xf>
    <xf numFmtId="0" fontId="0" fillId="0" borderId="0" xfId="0" applyNumberFormat="1" applyFill="1" applyBorder="1" applyAlignment="1">
      <alignment/>
    </xf>
    <xf numFmtId="164" fontId="4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0" fontId="3" fillId="3" borderId="3" xfId="0" applyFont="1" applyFill="1" applyBorder="1" applyAlignment="1">
      <alignment horizontal="left" vertical="center" wrapText="1" indent="1"/>
    </xf>
    <xf numFmtId="4" fontId="0" fillId="0" borderId="0" xfId="0" applyNumberFormat="1" applyBorder="1" applyAlignment="1">
      <alignment/>
    </xf>
    <xf numFmtId="4" fontId="2" fillId="0" borderId="0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right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2" fillId="0" borderId="1" xfId="0" applyFont="1" applyBorder="1" applyAlignment="1">
      <alignment horizontal="right" vertical="center"/>
    </xf>
    <xf numFmtId="4" fontId="3" fillId="0" borderId="3" xfId="0" applyNumberFormat="1" applyFont="1" applyFill="1" applyBorder="1" applyAlignment="1">
      <alignment vertical="center"/>
    </xf>
    <xf numFmtId="4" fontId="3" fillId="0" borderId="21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4" fontId="7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 vertic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/>
    </xf>
    <xf numFmtId="4" fontId="0" fillId="0" borderId="0" xfId="0" applyNumberFormat="1" applyFont="1" applyAlignment="1">
      <alignment/>
    </xf>
    <xf numFmtId="0" fontId="4" fillId="3" borderId="0" xfId="0" applyFont="1" applyFill="1" applyBorder="1" applyAlignment="1">
      <alignment/>
    </xf>
    <xf numFmtId="4" fontId="2" fillId="3" borderId="0" xfId="0" applyNumberFormat="1" applyFont="1" applyFill="1" applyBorder="1" applyAlignment="1">
      <alignment vertical="center"/>
    </xf>
    <xf numFmtId="4" fontId="4" fillId="3" borderId="0" xfId="0" applyNumberFormat="1" applyFont="1" applyFill="1" applyBorder="1" applyAlignment="1">
      <alignment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left" vertical="center" indent="1"/>
    </xf>
    <xf numFmtId="4" fontId="4" fillId="3" borderId="22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7" fillId="3" borderId="1" xfId="0" applyNumberFormat="1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left" vertical="center" wrapText="1" indent="1"/>
    </xf>
    <xf numFmtId="4" fontId="11" fillId="2" borderId="1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right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3" fillId="3" borderId="0" xfId="0" applyNumberFormat="1" applyFont="1" applyFill="1" applyBorder="1" applyAlignment="1">
      <alignment horizontal="right" vertical="center"/>
    </xf>
    <xf numFmtId="4" fontId="2" fillId="3" borderId="0" xfId="0" applyNumberFormat="1" applyFont="1" applyFill="1" applyBorder="1" applyAlignment="1">
      <alignment horizontal="right" vertical="center"/>
    </xf>
    <xf numFmtId="4" fontId="3" fillId="3" borderId="0" xfId="0" applyNumberFormat="1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right" vertical="center"/>
    </xf>
    <xf numFmtId="4" fontId="2" fillId="0" borderId="21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14" fillId="0" borderId="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16" fillId="0" borderId="0" xfId="0" applyNumberFormat="1" applyFont="1" applyFill="1" applyAlignment="1">
      <alignment horizontal="left" vertical="center"/>
    </xf>
    <xf numFmtId="0" fontId="16" fillId="3" borderId="0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1" fillId="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workbookViewId="0" topLeftCell="A1">
      <selection activeCell="L12" sqref="L12"/>
    </sheetView>
  </sheetViews>
  <sheetFormatPr defaultColWidth="9.00390625" defaultRowHeight="12.75"/>
  <cols>
    <col min="1" max="1" width="5.25390625" style="10" customWidth="1"/>
    <col min="2" max="2" width="7.625" style="10" customWidth="1"/>
    <col min="3" max="3" width="5.25390625" style="10" customWidth="1"/>
    <col min="4" max="4" width="37.75390625" style="10" customWidth="1"/>
    <col min="5" max="5" width="12.25390625" style="78" hidden="1" customWidth="1"/>
    <col min="6" max="6" width="11.00390625" style="0" hidden="1" customWidth="1"/>
    <col min="7" max="7" width="17.375" style="0" hidden="1" customWidth="1"/>
    <col min="8" max="8" width="15.25390625" style="0" customWidth="1"/>
  </cols>
  <sheetData>
    <row r="1" spans="1:10" ht="12.75">
      <c r="A1" s="129"/>
      <c r="B1" s="129"/>
      <c r="C1" s="129"/>
      <c r="D1" s="129"/>
      <c r="E1" s="130"/>
      <c r="G1" s="130" t="s">
        <v>288</v>
      </c>
      <c r="H1" s="130" t="s">
        <v>288</v>
      </c>
      <c r="J1" s="130"/>
    </row>
    <row r="2" spans="1:10" ht="12.75">
      <c r="A2" s="129"/>
      <c r="B2" s="129"/>
      <c r="C2" s="129"/>
      <c r="D2" s="129"/>
      <c r="E2" s="130"/>
      <c r="G2" s="130" t="s">
        <v>222</v>
      </c>
      <c r="H2" s="130" t="s">
        <v>352</v>
      </c>
      <c r="J2" s="130"/>
    </row>
    <row r="3" spans="1:10" ht="12.75">
      <c r="A3" s="129"/>
      <c r="B3" s="129"/>
      <c r="C3" s="129"/>
      <c r="D3" s="129"/>
      <c r="E3" s="130"/>
      <c r="G3" s="130" t="s">
        <v>208</v>
      </c>
      <c r="H3" s="130" t="s">
        <v>208</v>
      </c>
      <c r="J3" s="130"/>
    </row>
    <row r="4" spans="1:10" ht="12.75">
      <c r="A4" s="129"/>
      <c r="B4" s="129"/>
      <c r="C4" s="129"/>
      <c r="D4" s="129"/>
      <c r="E4" s="130"/>
      <c r="G4" s="130" t="s">
        <v>289</v>
      </c>
      <c r="H4" s="130" t="s">
        <v>353</v>
      </c>
      <c r="J4" s="130"/>
    </row>
    <row r="5" spans="1:5" ht="12.75">
      <c r="A5" s="129"/>
      <c r="B5" s="129"/>
      <c r="C5" s="129"/>
      <c r="D5" s="129"/>
      <c r="E5" s="130"/>
    </row>
    <row r="6" spans="1:5" ht="18.75" customHeight="1">
      <c r="A6" s="316" t="s">
        <v>287</v>
      </c>
      <c r="B6" s="316"/>
      <c r="C6" s="316"/>
      <c r="D6" s="316"/>
      <c r="E6" s="131"/>
    </row>
    <row r="7" spans="1:5" ht="12.75">
      <c r="A7" s="17"/>
      <c r="B7" s="17"/>
      <c r="C7" s="17"/>
      <c r="D7" s="132"/>
      <c r="E7" s="131"/>
    </row>
    <row r="8" spans="1:8" ht="24.75" customHeight="1">
      <c r="A8" s="7" t="s">
        <v>0</v>
      </c>
      <c r="B8" s="6" t="s">
        <v>1</v>
      </c>
      <c r="C8" s="45" t="s">
        <v>2</v>
      </c>
      <c r="D8" s="7" t="s">
        <v>3</v>
      </c>
      <c r="E8" s="14" t="s">
        <v>171</v>
      </c>
      <c r="F8" s="6" t="s">
        <v>337</v>
      </c>
      <c r="G8" s="6" t="s">
        <v>338</v>
      </c>
      <c r="H8" s="276" t="s">
        <v>175</v>
      </c>
    </row>
    <row r="9" spans="1:8" s="10" customFormat="1" ht="21.75" customHeight="1">
      <c r="A9" s="80" t="s">
        <v>8</v>
      </c>
      <c r="B9" s="3"/>
      <c r="C9" s="37"/>
      <c r="D9" s="81" t="s">
        <v>9</v>
      </c>
      <c r="E9" s="133">
        <f>SUM(E10)</f>
        <v>5500</v>
      </c>
      <c r="F9" s="35">
        <f aca="true" t="shared" si="0" ref="F9:H10">SUM(F10)</f>
        <v>0</v>
      </c>
      <c r="G9" s="35">
        <f t="shared" si="0"/>
        <v>0</v>
      </c>
      <c r="H9" s="35">
        <f t="shared" si="0"/>
        <v>5500</v>
      </c>
    </row>
    <row r="10" spans="1:8" s="51" customFormat="1" ht="21" customHeight="1">
      <c r="A10" s="157"/>
      <c r="B10" s="153" t="s">
        <v>10</v>
      </c>
      <c r="C10" s="162"/>
      <c r="D10" s="159" t="s">
        <v>6</v>
      </c>
      <c r="E10" s="151">
        <f>SUM(E11)</f>
        <v>5500</v>
      </c>
      <c r="F10" s="168">
        <f t="shared" si="0"/>
        <v>0</v>
      </c>
      <c r="G10" s="168">
        <f t="shared" si="0"/>
        <v>0</v>
      </c>
      <c r="H10" s="168">
        <f t="shared" si="0"/>
        <v>5500</v>
      </c>
    </row>
    <row r="11" spans="1:8" s="51" customFormat="1" ht="38.25" customHeight="1">
      <c r="A11" s="157"/>
      <c r="B11" s="158"/>
      <c r="C11" s="154" t="s">
        <v>231</v>
      </c>
      <c r="D11" s="159" t="s">
        <v>7</v>
      </c>
      <c r="E11" s="151">
        <v>5500</v>
      </c>
      <c r="F11" s="262"/>
      <c r="G11" s="262"/>
      <c r="H11" s="175">
        <f>SUM(E11+F11-G11)</f>
        <v>5500</v>
      </c>
    </row>
    <row r="12" spans="1:8" s="95" customFormat="1" ht="21.75" customHeight="1">
      <c r="A12" s="235">
        <v>600</v>
      </c>
      <c r="B12" s="87"/>
      <c r="C12" s="88"/>
      <c r="D12" s="89" t="s">
        <v>93</v>
      </c>
      <c r="E12" s="133">
        <f>SUM(E13)</f>
        <v>6300</v>
      </c>
      <c r="F12" s="35">
        <f aca="true" t="shared" si="1" ref="F12:H13">SUM(F13)</f>
        <v>0</v>
      </c>
      <c r="G12" s="35">
        <f t="shared" si="1"/>
        <v>0</v>
      </c>
      <c r="H12" s="35">
        <f t="shared" si="1"/>
        <v>6300</v>
      </c>
    </row>
    <row r="13" spans="1:8" s="51" customFormat="1" ht="21.75" customHeight="1">
      <c r="A13" s="157"/>
      <c r="B13" s="165" t="s">
        <v>94</v>
      </c>
      <c r="C13" s="169"/>
      <c r="D13" s="91" t="s">
        <v>95</v>
      </c>
      <c r="E13" s="151">
        <f>SUM(E14)</f>
        <v>6300</v>
      </c>
      <c r="F13" s="168">
        <f t="shared" si="1"/>
        <v>0</v>
      </c>
      <c r="G13" s="168">
        <f t="shared" si="1"/>
        <v>0</v>
      </c>
      <c r="H13" s="168">
        <f t="shared" si="1"/>
        <v>6300</v>
      </c>
    </row>
    <row r="14" spans="1:8" s="51" customFormat="1" ht="21.75" customHeight="1">
      <c r="A14" s="157"/>
      <c r="B14" s="158"/>
      <c r="C14" s="154" t="s">
        <v>264</v>
      </c>
      <c r="D14" s="159" t="s">
        <v>190</v>
      </c>
      <c r="E14" s="151">
        <v>6300</v>
      </c>
      <c r="F14" s="262"/>
      <c r="G14" s="262"/>
      <c r="H14" s="175">
        <f>SUM(E14+F14-G14)</f>
        <v>6300</v>
      </c>
    </row>
    <row r="15" spans="1:8" s="8" customFormat="1" ht="21.75" customHeight="1">
      <c r="A15" s="80" t="s">
        <v>11</v>
      </c>
      <c r="B15" s="4"/>
      <c r="C15" s="5"/>
      <c r="D15" s="81" t="s">
        <v>12</v>
      </c>
      <c r="E15" s="133">
        <f>SUM(E16,)</f>
        <v>4255150</v>
      </c>
      <c r="F15" s="35">
        <f>SUM(F16,)</f>
        <v>0</v>
      </c>
      <c r="G15" s="35">
        <f>SUM(G16,)</f>
        <v>0</v>
      </c>
      <c r="H15" s="35">
        <f>SUM(H16,)</f>
        <v>4255150</v>
      </c>
    </row>
    <row r="16" spans="1:8" s="51" customFormat="1" ht="21.75" customHeight="1">
      <c r="A16" s="152"/>
      <c r="B16" s="153" t="s">
        <v>13</v>
      </c>
      <c r="C16" s="162"/>
      <c r="D16" s="159" t="s">
        <v>213</v>
      </c>
      <c r="E16" s="151">
        <f>SUM(E17:E20)</f>
        <v>4255150</v>
      </c>
      <c r="F16" s="168">
        <f>SUM(F17:F20)</f>
        <v>0</v>
      </c>
      <c r="G16" s="168">
        <f>SUM(G17:G20)</f>
        <v>0</v>
      </c>
      <c r="H16" s="168">
        <f>SUM(H17:H20)</f>
        <v>4255150</v>
      </c>
    </row>
    <row r="17" spans="1:8" s="51" customFormat="1" ht="36">
      <c r="A17" s="152"/>
      <c r="B17" s="118"/>
      <c r="C17" s="161" t="s">
        <v>232</v>
      </c>
      <c r="D17" s="159" t="s">
        <v>14</v>
      </c>
      <c r="E17" s="151">
        <v>160000</v>
      </c>
      <c r="F17" s="262"/>
      <c r="G17" s="262"/>
      <c r="H17" s="175">
        <f>SUM(E17+F17-G17)</f>
        <v>160000</v>
      </c>
    </row>
    <row r="18" spans="1:8" s="51" customFormat="1" ht="60">
      <c r="A18" s="152"/>
      <c r="B18" s="118"/>
      <c r="C18" s="154" t="s">
        <v>233</v>
      </c>
      <c r="D18" s="159" t="s">
        <v>70</v>
      </c>
      <c r="E18" s="151">
        <v>155900</v>
      </c>
      <c r="F18" s="262"/>
      <c r="G18" s="262"/>
      <c r="H18" s="175">
        <f>SUM(E18+F18-G18)</f>
        <v>155900</v>
      </c>
    </row>
    <row r="19" spans="1:8" s="51" customFormat="1" ht="21.75" customHeight="1">
      <c r="A19" s="152"/>
      <c r="B19" s="118"/>
      <c r="C19" s="154" t="s">
        <v>333</v>
      </c>
      <c r="D19" s="159" t="s">
        <v>308</v>
      </c>
      <c r="E19" s="151">
        <f>113400+903460+850815+565380+80000+565380+850815</f>
        <v>3929250</v>
      </c>
      <c r="F19" s="262"/>
      <c r="G19" s="262"/>
      <c r="H19" s="175">
        <f>SUM(E19+F19-G19)</f>
        <v>3929250</v>
      </c>
    </row>
    <row r="20" spans="1:8" s="51" customFormat="1" ht="21.75" customHeight="1">
      <c r="A20" s="152"/>
      <c r="B20" s="118"/>
      <c r="C20" s="154" t="s">
        <v>234</v>
      </c>
      <c r="D20" s="159" t="s">
        <v>15</v>
      </c>
      <c r="E20" s="151">
        <v>10000</v>
      </c>
      <c r="F20" s="262"/>
      <c r="G20" s="262"/>
      <c r="H20" s="175">
        <f>SUM(E20+F20-G20)</f>
        <v>10000</v>
      </c>
    </row>
    <row r="21" spans="1:8" s="8" customFormat="1" ht="21.75" customHeight="1">
      <c r="A21" s="80" t="s">
        <v>19</v>
      </c>
      <c r="B21" s="4"/>
      <c r="C21" s="5"/>
      <c r="D21" s="81" t="s">
        <v>20</v>
      </c>
      <c r="E21" s="133">
        <f>SUM(E22,E25,)</f>
        <v>171350</v>
      </c>
      <c r="F21" s="35">
        <f>SUM(F22,F25,)</f>
        <v>0</v>
      </c>
      <c r="G21" s="35">
        <f>SUM(G22,G25,)</f>
        <v>0</v>
      </c>
      <c r="H21" s="35">
        <f>SUM(H22,H25,)</f>
        <v>171350</v>
      </c>
    </row>
    <row r="22" spans="1:8" s="51" customFormat="1" ht="21" customHeight="1">
      <c r="A22" s="152"/>
      <c r="B22" s="153">
        <v>75011</v>
      </c>
      <c r="C22" s="162"/>
      <c r="D22" s="159" t="s">
        <v>21</v>
      </c>
      <c r="E22" s="151">
        <f>SUM(E23:E24)</f>
        <v>146350</v>
      </c>
      <c r="F22" s="168">
        <f>SUM(F23:F24)</f>
        <v>0</v>
      </c>
      <c r="G22" s="168">
        <f>SUM(G23:G24)</f>
        <v>0</v>
      </c>
      <c r="H22" s="168">
        <f>SUM(H23:H24)</f>
        <v>146350</v>
      </c>
    </row>
    <row r="23" spans="1:8" s="51" customFormat="1" ht="48">
      <c r="A23" s="152"/>
      <c r="B23" s="118"/>
      <c r="C23" s="154">
        <v>2010</v>
      </c>
      <c r="D23" s="159" t="s">
        <v>22</v>
      </c>
      <c r="E23" s="168">
        <v>142600</v>
      </c>
      <c r="F23" s="262"/>
      <c r="G23" s="262"/>
      <c r="H23" s="175">
        <f>SUM(E23+F23-G23)</f>
        <v>142600</v>
      </c>
    </row>
    <row r="24" spans="1:8" s="51" customFormat="1" ht="36">
      <c r="A24" s="152"/>
      <c r="B24" s="118"/>
      <c r="C24" s="154">
        <v>2360</v>
      </c>
      <c r="D24" s="159" t="s">
        <v>270</v>
      </c>
      <c r="E24" s="151">
        <v>3750</v>
      </c>
      <c r="F24" s="262"/>
      <c r="G24" s="262"/>
      <c r="H24" s="175">
        <f>SUM(E24+F24-G24)</f>
        <v>3750</v>
      </c>
    </row>
    <row r="25" spans="1:8" s="51" customFormat="1" ht="23.25" customHeight="1">
      <c r="A25" s="160"/>
      <c r="B25" s="153" t="s">
        <v>23</v>
      </c>
      <c r="C25" s="162"/>
      <c r="D25" s="159" t="s">
        <v>24</v>
      </c>
      <c r="E25" s="151">
        <f>SUM(E26)</f>
        <v>25000</v>
      </c>
      <c r="F25" s="168">
        <f>SUM(F26)</f>
        <v>0</v>
      </c>
      <c r="G25" s="168">
        <f>SUM(G26)</f>
        <v>0</v>
      </c>
      <c r="H25" s="168">
        <f>SUM(H26)</f>
        <v>25000</v>
      </c>
    </row>
    <row r="26" spans="1:8" s="51" customFormat="1" ht="21.75" customHeight="1">
      <c r="A26" s="160"/>
      <c r="B26" s="153"/>
      <c r="C26" s="161" t="s">
        <v>235</v>
      </c>
      <c r="D26" s="159" t="s">
        <v>16</v>
      </c>
      <c r="E26" s="151">
        <f>20000+14134+5000-14134</f>
        <v>25000</v>
      </c>
      <c r="F26" s="262"/>
      <c r="G26" s="262"/>
      <c r="H26" s="175">
        <f>SUM(E26+F26-G26)</f>
        <v>25000</v>
      </c>
    </row>
    <row r="27" spans="1:8" s="8" customFormat="1" ht="36">
      <c r="A27" s="80">
        <v>751</v>
      </c>
      <c r="B27" s="6"/>
      <c r="C27" s="45"/>
      <c r="D27" s="81" t="s">
        <v>25</v>
      </c>
      <c r="E27" s="133">
        <f>SUM(E28)</f>
        <v>3737</v>
      </c>
      <c r="F27" s="35">
        <f aca="true" t="shared" si="2" ref="F27:H28">SUM(F28)</f>
        <v>0</v>
      </c>
      <c r="G27" s="35">
        <f t="shared" si="2"/>
        <v>0</v>
      </c>
      <c r="H27" s="35">
        <f t="shared" si="2"/>
        <v>3737</v>
      </c>
    </row>
    <row r="28" spans="1:8" s="51" customFormat="1" ht="24">
      <c r="A28" s="160"/>
      <c r="B28" s="153">
        <v>75101</v>
      </c>
      <c r="C28" s="162"/>
      <c r="D28" s="159" t="s">
        <v>26</v>
      </c>
      <c r="E28" s="151">
        <f>SUM(E29)</f>
        <v>3737</v>
      </c>
      <c r="F28" s="168">
        <f t="shared" si="2"/>
        <v>0</v>
      </c>
      <c r="G28" s="168">
        <f t="shared" si="2"/>
        <v>0</v>
      </c>
      <c r="H28" s="168">
        <f t="shared" si="2"/>
        <v>3737</v>
      </c>
    </row>
    <row r="29" spans="1:8" s="51" customFormat="1" ht="48">
      <c r="A29" s="160"/>
      <c r="B29" s="153"/>
      <c r="C29" s="162">
        <v>2010</v>
      </c>
      <c r="D29" s="159" t="s">
        <v>22</v>
      </c>
      <c r="E29" s="151">
        <v>3737</v>
      </c>
      <c r="F29" s="262"/>
      <c r="G29" s="262"/>
      <c r="H29" s="175">
        <f>SUM(E29+F29-G29)</f>
        <v>3737</v>
      </c>
    </row>
    <row r="30" spans="1:8" s="8" customFormat="1" ht="24">
      <c r="A30" s="80" t="s">
        <v>27</v>
      </c>
      <c r="B30" s="4"/>
      <c r="C30" s="5"/>
      <c r="D30" s="81" t="s">
        <v>28</v>
      </c>
      <c r="E30" s="133">
        <f>SUM(E31,E33,)</f>
        <v>2900</v>
      </c>
      <c r="F30" s="35">
        <f>SUM(F31,F33,)</f>
        <v>0</v>
      </c>
      <c r="G30" s="35">
        <f>SUM(G31,G33,)</f>
        <v>0</v>
      </c>
      <c r="H30" s="35">
        <f>SUM(H31,H33,)</f>
        <v>2900</v>
      </c>
    </row>
    <row r="31" spans="1:8" s="51" customFormat="1" ht="21.75" customHeight="1">
      <c r="A31" s="160"/>
      <c r="B31" s="153" t="s">
        <v>29</v>
      </c>
      <c r="C31" s="162"/>
      <c r="D31" s="159" t="s">
        <v>30</v>
      </c>
      <c r="E31" s="151">
        <f>SUM(E32)</f>
        <v>1400</v>
      </c>
      <c r="F31" s="168">
        <f>SUM(F32)</f>
        <v>0</v>
      </c>
      <c r="G31" s="168">
        <f>SUM(G32)</f>
        <v>0</v>
      </c>
      <c r="H31" s="168">
        <f>SUM(H32)</f>
        <v>1400</v>
      </c>
    </row>
    <row r="32" spans="1:8" s="51" customFormat="1" ht="48">
      <c r="A32" s="160"/>
      <c r="B32" s="153"/>
      <c r="C32" s="154">
        <v>2010</v>
      </c>
      <c r="D32" s="159" t="s">
        <v>22</v>
      </c>
      <c r="E32" s="151">
        <v>1400</v>
      </c>
      <c r="F32" s="262"/>
      <c r="G32" s="262"/>
      <c r="H32" s="175">
        <f>SUM(E32+F32-G32)</f>
        <v>1400</v>
      </c>
    </row>
    <row r="33" spans="1:8" s="51" customFormat="1" ht="21.75" customHeight="1">
      <c r="A33" s="160"/>
      <c r="B33" s="153" t="s">
        <v>31</v>
      </c>
      <c r="C33" s="162"/>
      <c r="D33" s="159" t="s">
        <v>32</v>
      </c>
      <c r="E33" s="151">
        <f>SUM(E34)</f>
        <v>1500</v>
      </c>
      <c r="F33" s="168">
        <f>SUM(F34)</f>
        <v>0</v>
      </c>
      <c r="G33" s="168">
        <f>SUM(G34)</f>
        <v>0</v>
      </c>
      <c r="H33" s="168">
        <f>SUM(H34)</f>
        <v>1500</v>
      </c>
    </row>
    <row r="34" spans="1:8" s="51" customFormat="1" ht="24">
      <c r="A34" s="160"/>
      <c r="B34" s="118"/>
      <c r="C34" s="154" t="s">
        <v>236</v>
      </c>
      <c r="D34" s="159" t="s">
        <v>33</v>
      </c>
      <c r="E34" s="151">
        <v>1500</v>
      </c>
      <c r="F34" s="262"/>
      <c r="G34" s="262"/>
      <c r="H34" s="175">
        <f>SUM(E34+F34-G34)</f>
        <v>1500</v>
      </c>
    </row>
    <row r="35" spans="1:8" s="8" customFormat="1" ht="48">
      <c r="A35" s="80" t="s">
        <v>34</v>
      </c>
      <c r="B35" s="4"/>
      <c r="C35" s="5"/>
      <c r="D35" s="81" t="s">
        <v>223</v>
      </c>
      <c r="E35" s="133">
        <f>SUM(E36,E39,E46,E58,E63,)</f>
        <v>16123131</v>
      </c>
      <c r="F35" s="133">
        <f>SUM(F36,F39,F46,F58,F63,)</f>
        <v>37694</v>
      </c>
      <c r="G35" s="133">
        <f>SUM(G36,G39,G46,G58,G63,)</f>
        <v>0</v>
      </c>
      <c r="H35" s="133">
        <f>SUM(H36,H39,H46,H58,H63,)</f>
        <v>16160825</v>
      </c>
    </row>
    <row r="36" spans="1:8" s="51" customFormat="1" ht="24">
      <c r="A36" s="152"/>
      <c r="B36" s="118">
        <v>75601</v>
      </c>
      <c r="C36" s="162"/>
      <c r="D36" s="159" t="s">
        <v>36</v>
      </c>
      <c r="E36" s="151">
        <f>SUM(E37:E38)</f>
        <v>44300</v>
      </c>
      <c r="F36" s="151">
        <f>SUM(F37:F38)</f>
        <v>0</v>
      </c>
      <c r="G36" s="151">
        <f>SUM(G37:G38)</f>
        <v>0</v>
      </c>
      <c r="H36" s="151">
        <f>SUM(H37:H38)</f>
        <v>44300</v>
      </c>
    </row>
    <row r="37" spans="1:8" s="51" customFormat="1" ht="24">
      <c r="A37" s="152"/>
      <c r="B37" s="118"/>
      <c r="C37" s="161" t="s">
        <v>237</v>
      </c>
      <c r="D37" s="159" t="s">
        <v>37</v>
      </c>
      <c r="E37" s="151">
        <v>44000</v>
      </c>
      <c r="F37" s="262"/>
      <c r="G37" s="262"/>
      <c r="H37" s="175">
        <f aca="true" t="shared" si="3" ref="H37:H97">SUM(E37+F37-G37)</f>
        <v>44000</v>
      </c>
    </row>
    <row r="38" spans="1:8" s="51" customFormat="1" ht="24">
      <c r="A38" s="152"/>
      <c r="B38" s="118"/>
      <c r="C38" s="161" t="s">
        <v>238</v>
      </c>
      <c r="D38" s="159" t="s">
        <v>44</v>
      </c>
      <c r="E38" s="151">
        <v>300</v>
      </c>
      <c r="F38" s="262"/>
      <c r="G38" s="262"/>
      <c r="H38" s="175">
        <f t="shared" si="3"/>
        <v>300</v>
      </c>
    </row>
    <row r="39" spans="1:8" s="51" customFormat="1" ht="48">
      <c r="A39" s="152"/>
      <c r="B39" s="153" t="s">
        <v>38</v>
      </c>
      <c r="C39" s="162"/>
      <c r="D39" s="159" t="s">
        <v>314</v>
      </c>
      <c r="E39" s="151">
        <f>SUM(E40:E45)</f>
        <v>6441323</v>
      </c>
      <c r="F39" s="151">
        <f>SUM(F40:F45)</f>
        <v>0</v>
      </c>
      <c r="G39" s="151">
        <f>SUM(G40:G45)</f>
        <v>0</v>
      </c>
      <c r="H39" s="151">
        <f>SUM(H40:H45)</f>
        <v>6441323</v>
      </c>
    </row>
    <row r="40" spans="1:8" s="51" customFormat="1" ht="21.75" customHeight="1">
      <c r="A40" s="152"/>
      <c r="B40" s="153"/>
      <c r="C40" s="154" t="s">
        <v>239</v>
      </c>
      <c r="D40" s="159" t="s">
        <v>39</v>
      </c>
      <c r="E40" s="151">
        <v>5949318</v>
      </c>
      <c r="F40" s="262"/>
      <c r="G40" s="262"/>
      <c r="H40" s="175">
        <f t="shared" si="3"/>
        <v>5949318</v>
      </c>
    </row>
    <row r="41" spans="1:8" s="51" customFormat="1" ht="21.75" customHeight="1">
      <c r="A41" s="152"/>
      <c r="B41" s="153"/>
      <c r="C41" s="154" t="s">
        <v>240</v>
      </c>
      <c r="D41" s="159" t="s">
        <v>40</v>
      </c>
      <c r="E41" s="151">
        <v>38800</v>
      </c>
      <c r="F41" s="262"/>
      <c r="G41" s="262"/>
      <c r="H41" s="175">
        <f t="shared" si="3"/>
        <v>38800</v>
      </c>
    </row>
    <row r="42" spans="1:8" s="51" customFormat="1" ht="21.75" customHeight="1">
      <c r="A42" s="152"/>
      <c r="B42" s="153"/>
      <c r="C42" s="154" t="s">
        <v>241</v>
      </c>
      <c r="D42" s="159" t="s">
        <v>41</v>
      </c>
      <c r="E42" s="151">
        <v>222870</v>
      </c>
      <c r="F42" s="262"/>
      <c r="G42" s="262"/>
      <c r="H42" s="175">
        <f t="shared" si="3"/>
        <v>222870</v>
      </c>
    </row>
    <row r="43" spans="1:8" s="51" customFormat="1" ht="21.75" customHeight="1">
      <c r="A43" s="152"/>
      <c r="B43" s="153"/>
      <c r="C43" s="154" t="s">
        <v>242</v>
      </c>
      <c r="D43" s="159" t="s">
        <v>42</v>
      </c>
      <c r="E43" s="151">
        <v>37000</v>
      </c>
      <c r="F43" s="262"/>
      <c r="G43" s="262"/>
      <c r="H43" s="175">
        <f t="shared" si="3"/>
        <v>37000</v>
      </c>
    </row>
    <row r="44" spans="1:8" s="51" customFormat="1" ht="21.75" customHeight="1">
      <c r="A44" s="152"/>
      <c r="B44" s="153"/>
      <c r="C44" s="149" t="s">
        <v>238</v>
      </c>
      <c r="D44" s="146" t="s">
        <v>290</v>
      </c>
      <c r="E44" s="163">
        <v>47500</v>
      </c>
      <c r="F44" s="262"/>
      <c r="G44" s="262"/>
      <c r="H44" s="175">
        <f t="shared" si="3"/>
        <v>47500</v>
      </c>
    </row>
    <row r="45" spans="1:8" s="51" customFormat="1" ht="36">
      <c r="A45" s="152"/>
      <c r="B45" s="153"/>
      <c r="C45" s="154">
        <v>2440</v>
      </c>
      <c r="D45" s="159" t="s">
        <v>271</v>
      </c>
      <c r="E45" s="151">
        <v>145835</v>
      </c>
      <c r="F45" s="262"/>
      <c r="G45" s="262"/>
      <c r="H45" s="175">
        <f t="shared" si="3"/>
        <v>145835</v>
      </c>
    </row>
    <row r="46" spans="1:8" s="51" customFormat="1" ht="48">
      <c r="A46" s="152"/>
      <c r="B46" s="153">
        <v>75616</v>
      </c>
      <c r="C46" s="154"/>
      <c r="D46" s="159" t="s">
        <v>315</v>
      </c>
      <c r="E46" s="151">
        <f>SUM(E47:E57)</f>
        <v>3024880</v>
      </c>
      <c r="F46" s="151">
        <f>SUM(F47:F57)</f>
        <v>0</v>
      </c>
      <c r="G46" s="151">
        <f>SUM(G47:G57)</f>
        <v>0</v>
      </c>
      <c r="H46" s="151">
        <f>SUM(H47:H57)</f>
        <v>3024880</v>
      </c>
    </row>
    <row r="47" spans="1:8" s="51" customFormat="1" ht="21.75" customHeight="1">
      <c r="A47" s="152"/>
      <c r="B47" s="153"/>
      <c r="C47" s="154" t="s">
        <v>239</v>
      </c>
      <c r="D47" s="159" t="s">
        <v>39</v>
      </c>
      <c r="E47" s="151">
        <v>2000600</v>
      </c>
      <c r="F47" s="262"/>
      <c r="G47" s="262"/>
      <c r="H47" s="175">
        <f t="shared" si="3"/>
        <v>2000600</v>
      </c>
    </row>
    <row r="48" spans="1:8" s="51" customFormat="1" ht="21.75" customHeight="1">
      <c r="A48" s="152"/>
      <c r="B48" s="153"/>
      <c r="C48" s="154" t="s">
        <v>240</v>
      </c>
      <c r="D48" s="159" t="s">
        <v>40</v>
      </c>
      <c r="E48" s="151">
        <v>400000</v>
      </c>
      <c r="F48" s="262"/>
      <c r="G48" s="262"/>
      <c r="H48" s="175">
        <f t="shared" si="3"/>
        <v>400000</v>
      </c>
    </row>
    <row r="49" spans="1:8" s="51" customFormat="1" ht="21.75" customHeight="1">
      <c r="A49" s="152"/>
      <c r="B49" s="153"/>
      <c r="C49" s="154" t="s">
        <v>241</v>
      </c>
      <c r="D49" s="159" t="s">
        <v>41</v>
      </c>
      <c r="E49" s="151">
        <v>6680</v>
      </c>
      <c r="F49" s="262"/>
      <c r="G49" s="262"/>
      <c r="H49" s="175">
        <f t="shared" si="3"/>
        <v>6680</v>
      </c>
    </row>
    <row r="50" spans="1:8" s="51" customFormat="1" ht="21.75" customHeight="1">
      <c r="A50" s="152"/>
      <c r="B50" s="153"/>
      <c r="C50" s="154" t="s">
        <v>242</v>
      </c>
      <c r="D50" s="159" t="s">
        <v>42</v>
      </c>
      <c r="E50" s="151">
        <v>130000</v>
      </c>
      <c r="F50" s="262"/>
      <c r="G50" s="262"/>
      <c r="H50" s="175">
        <f t="shared" si="3"/>
        <v>130000</v>
      </c>
    </row>
    <row r="51" spans="1:8" s="51" customFormat="1" ht="21.75" customHeight="1">
      <c r="A51" s="152"/>
      <c r="B51" s="153"/>
      <c r="C51" s="154" t="s">
        <v>243</v>
      </c>
      <c r="D51" s="159" t="s">
        <v>45</v>
      </c>
      <c r="E51" s="151">
        <f>20000+10000</f>
        <v>30000</v>
      </c>
      <c r="F51" s="262"/>
      <c r="G51" s="262"/>
      <c r="H51" s="175">
        <f t="shared" si="3"/>
        <v>30000</v>
      </c>
    </row>
    <row r="52" spans="1:8" s="51" customFormat="1" ht="21.75" customHeight="1">
      <c r="A52" s="152"/>
      <c r="B52" s="153"/>
      <c r="C52" s="154" t="s">
        <v>244</v>
      </c>
      <c r="D52" s="159" t="s">
        <v>46</v>
      </c>
      <c r="E52" s="151">
        <v>15000</v>
      </c>
      <c r="F52" s="262"/>
      <c r="G52" s="262"/>
      <c r="H52" s="175">
        <f t="shared" si="3"/>
        <v>15000</v>
      </c>
    </row>
    <row r="53" spans="1:8" s="51" customFormat="1" ht="21.75" customHeight="1">
      <c r="A53" s="152"/>
      <c r="B53" s="153"/>
      <c r="C53" s="154" t="s">
        <v>245</v>
      </c>
      <c r="D53" s="159" t="s">
        <v>47</v>
      </c>
      <c r="E53" s="151">
        <v>58000</v>
      </c>
      <c r="F53" s="262"/>
      <c r="G53" s="262"/>
      <c r="H53" s="175">
        <f t="shared" si="3"/>
        <v>58000</v>
      </c>
    </row>
    <row r="54" spans="1:8" s="51" customFormat="1" ht="21.75" customHeight="1">
      <c r="A54" s="152"/>
      <c r="B54" s="153"/>
      <c r="C54" s="154" t="s">
        <v>246</v>
      </c>
      <c r="D54" s="159" t="s">
        <v>48</v>
      </c>
      <c r="E54" s="151">
        <v>1000</v>
      </c>
      <c r="F54" s="262"/>
      <c r="G54" s="262"/>
      <c r="H54" s="175">
        <f t="shared" si="3"/>
        <v>1000</v>
      </c>
    </row>
    <row r="55" spans="1:8" s="51" customFormat="1" ht="24">
      <c r="A55" s="152"/>
      <c r="B55" s="153"/>
      <c r="C55" s="154" t="s">
        <v>247</v>
      </c>
      <c r="D55" s="159" t="s">
        <v>49</v>
      </c>
      <c r="E55" s="151">
        <v>1400</v>
      </c>
      <c r="F55" s="262"/>
      <c r="G55" s="262"/>
      <c r="H55" s="175">
        <f t="shared" si="3"/>
        <v>1400</v>
      </c>
    </row>
    <row r="56" spans="1:8" s="51" customFormat="1" ht="21.75" customHeight="1">
      <c r="A56" s="152"/>
      <c r="B56" s="153"/>
      <c r="C56" s="154" t="s">
        <v>249</v>
      </c>
      <c r="D56" s="159" t="s">
        <v>50</v>
      </c>
      <c r="E56" s="151">
        <v>360000</v>
      </c>
      <c r="F56" s="262"/>
      <c r="G56" s="262"/>
      <c r="H56" s="175">
        <f t="shared" si="3"/>
        <v>360000</v>
      </c>
    </row>
    <row r="57" spans="1:8" s="51" customFormat="1" ht="21.75" customHeight="1">
      <c r="A57" s="152"/>
      <c r="B57" s="153"/>
      <c r="C57" s="154" t="s">
        <v>238</v>
      </c>
      <c r="D57" s="159" t="s">
        <v>290</v>
      </c>
      <c r="E57" s="151">
        <v>22200</v>
      </c>
      <c r="F57" s="262"/>
      <c r="G57" s="262"/>
      <c r="H57" s="175">
        <f t="shared" si="3"/>
        <v>22200</v>
      </c>
    </row>
    <row r="58" spans="1:8" s="51" customFormat="1" ht="36">
      <c r="A58" s="152"/>
      <c r="B58" s="153" t="s">
        <v>51</v>
      </c>
      <c r="C58" s="162"/>
      <c r="D58" s="159" t="s">
        <v>52</v>
      </c>
      <c r="E58" s="151">
        <f>SUM(E59:E62)</f>
        <v>584000</v>
      </c>
      <c r="F58" s="151">
        <f>SUM(F59:F62)</f>
        <v>0</v>
      </c>
      <c r="G58" s="151">
        <f>SUM(G59:G62)</f>
        <v>0</v>
      </c>
      <c r="H58" s="151">
        <f>SUM(H59:H62)</f>
        <v>584000</v>
      </c>
    </row>
    <row r="59" spans="1:8" s="51" customFormat="1" ht="21.75" customHeight="1">
      <c r="A59" s="152"/>
      <c r="B59" s="153"/>
      <c r="C59" s="154" t="s">
        <v>250</v>
      </c>
      <c r="D59" s="159" t="s">
        <v>53</v>
      </c>
      <c r="E59" s="151">
        <f>200000+20000</f>
        <v>220000</v>
      </c>
      <c r="F59" s="262"/>
      <c r="G59" s="262"/>
      <c r="H59" s="175">
        <f t="shared" si="3"/>
        <v>220000</v>
      </c>
    </row>
    <row r="60" spans="1:8" s="51" customFormat="1" ht="21.75" customHeight="1">
      <c r="A60" s="152"/>
      <c r="B60" s="153"/>
      <c r="C60" s="154" t="s">
        <v>248</v>
      </c>
      <c r="D60" s="159" t="s">
        <v>43</v>
      </c>
      <c r="E60" s="151">
        <v>14000</v>
      </c>
      <c r="F60" s="262"/>
      <c r="G60" s="262"/>
      <c r="H60" s="175">
        <f t="shared" si="3"/>
        <v>14000</v>
      </c>
    </row>
    <row r="61" spans="1:8" s="51" customFormat="1" ht="21.75" customHeight="1">
      <c r="A61" s="152"/>
      <c r="B61" s="153"/>
      <c r="C61" s="154" t="s">
        <v>254</v>
      </c>
      <c r="D61" s="159" t="s">
        <v>69</v>
      </c>
      <c r="E61" s="151">
        <v>280000</v>
      </c>
      <c r="F61" s="262"/>
      <c r="G61" s="262"/>
      <c r="H61" s="175">
        <f t="shared" si="3"/>
        <v>280000</v>
      </c>
    </row>
    <row r="62" spans="1:8" s="51" customFormat="1" ht="36">
      <c r="A62" s="152"/>
      <c r="B62" s="153"/>
      <c r="C62" s="154" t="s">
        <v>231</v>
      </c>
      <c r="D62" s="159" t="s">
        <v>7</v>
      </c>
      <c r="E62" s="151">
        <v>70000</v>
      </c>
      <c r="F62" s="262"/>
      <c r="G62" s="262"/>
      <c r="H62" s="175">
        <f t="shared" si="3"/>
        <v>70000</v>
      </c>
    </row>
    <row r="63" spans="1:8" s="51" customFormat="1" ht="24">
      <c r="A63" s="152"/>
      <c r="B63" s="153" t="s">
        <v>54</v>
      </c>
      <c r="C63" s="162"/>
      <c r="D63" s="159" t="s">
        <v>55</v>
      </c>
      <c r="E63" s="151">
        <f>SUM(E64:E65)</f>
        <v>6028628</v>
      </c>
      <c r="F63" s="151">
        <f>SUM(F64:F65)</f>
        <v>37694</v>
      </c>
      <c r="G63" s="151">
        <f>SUM(G64:G65)</f>
        <v>0</v>
      </c>
      <c r="H63" s="151">
        <f>SUM(H64:H65)</f>
        <v>6066322</v>
      </c>
    </row>
    <row r="64" spans="1:8" s="51" customFormat="1" ht="21.75" customHeight="1">
      <c r="A64" s="152"/>
      <c r="B64" s="153"/>
      <c r="C64" s="154" t="s">
        <v>251</v>
      </c>
      <c r="D64" s="159" t="s">
        <v>56</v>
      </c>
      <c r="E64" s="151">
        <v>5628628</v>
      </c>
      <c r="F64" s="175">
        <v>37694</v>
      </c>
      <c r="G64" s="262"/>
      <c r="H64" s="175">
        <f t="shared" si="3"/>
        <v>5666322</v>
      </c>
    </row>
    <row r="65" spans="1:8" s="51" customFormat="1" ht="21.75" customHeight="1">
      <c r="A65" s="152"/>
      <c r="B65" s="153"/>
      <c r="C65" s="154" t="s">
        <v>252</v>
      </c>
      <c r="D65" s="159" t="s">
        <v>57</v>
      </c>
      <c r="E65" s="151">
        <v>400000</v>
      </c>
      <c r="F65" s="262"/>
      <c r="G65" s="262"/>
      <c r="H65" s="175">
        <f t="shared" si="3"/>
        <v>400000</v>
      </c>
    </row>
    <row r="66" spans="1:8" s="8" customFormat="1" ht="21.75" customHeight="1">
      <c r="A66" s="80" t="s">
        <v>58</v>
      </c>
      <c r="B66" s="4"/>
      <c r="C66" s="5"/>
      <c r="D66" s="81" t="s">
        <v>59</v>
      </c>
      <c r="E66" s="133">
        <f>SUM(E67,E71,E69)</f>
        <v>13579690</v>
      </c>
      <c r="F66" s="133">
        <f>SUM(F67,F71,F69)</f>
        <v>0</v>
      </c>
      <c r="G66" s="133">
        <f>SUM(G67,G71,G69)</f>
        <v>806739</v>
      </c>
      <c r="H66" s="133">
        <f>SUM(H67,H71,H69)</f>
        <v>12772951</v>
      </c>
    </row>
    <row r="67" spans="1:8" s="51" customFormat="1" ht="24">
      <c r="A67" s="152"/>
      <c r="B67" s="153" t="s">
        <v>60</v>
      </c>
      <c r="C67" s="162"/>
      <c r="D67" s="159" t="s">
        <v>61</v>
      </c>
      <c r="E67" s="151">
        <f>SUM(E68)</f>
        <v>10853230</v>
      </c>
      <c r="F67" s="151">
        <f>SUM(F68)</f>
        <v>0</v>
      </c>
      <c r="G67" s="151">
        <f>SUM(G68)</f>
        <v>806739</v>
      </c>
      <c r="H67" s="151">
        <f>SUM(H68)</f>
        <v>10046491</v>
      </c>
    </row>
    <row r="68" spans="1:8" s="51" customFormat="1" ht="24" customHeight="1">
      <c r="A68" s="152"/>
      <c r="B68" s="153"/>
      <c r="C68" s="154">
        <v>2920</v>
      </c>
      <c r="D68" s="159" t="s">
        <v>62</v>
      </c>
      <c r="E68" s="151">
        <v>10853230</v>
      </c>
      <c r="F68" s="262"/>
      <c r="G68" s="175">
        <v>806739</v>
      </c>
      <c r="H68" s="175">
        <f t="shared" si="3"/>
        <v>10046491</v>
      </c>
    </row>
    <row r="69" spans="1:8" s="51" customFormat="1" ht="12">
      <c r="A69" s="152"/>
      <c r="B69" s="153" t="s">
        <v>273</v>
      </c>
      <c r="C69" s="162"/>
      <c r="D69" s="159" t="s">
        <v>272</v>
      </c>
      <c r="E69" s="151">
        <f>SUM(E70)</f>
        <v>2718460</v>
      </c>
      <c r="F69" s="151">
        <f>SUM(F70)</f>
        <v>0</v>
      </c>
      <c r="G69" s="151">
        <f>SUM(G70)</f>
        <v>0</v>
      </c>
      <c r="H69" s="151">
        <f>SUM(H70)</f>
        <v>2718460</v>
      </c>
    </row>
    <row r="70" spans="1:8" s="51" customFormat="1" ht="25.5" customHeight="1">
      <c r="A70" s="152"/>
      <c r="B70" s="153"/>
      <c r="C70" s="154">
        <v>2920</v>
      </c>
      <c r="D70" s="159" t="s">
        <v>62</v>
      </c>
      <c r="E70" s="151">
        <f>1256117+1462343</f>
        <v>2718460</v>
      </c>
      <c r="F70" s="262"/>
      <c r="G70" s="262"/>
      <c r="H70" s="175">
        <f t="shared" si="3"/>
        <v>2718460</v>
      </c>
    </row>
    <row r="71" spans="1:8" s="51" customFormat="1" ht="21" customHeight="1">
      <c r="A71" s="152"/>
      <c r="B71" s="153">
        <v>75814</v>
      </c>
      <c r="C71" s="162"/>
      <c r="D71" s="159" t="s">
        <v>63</v>
      </c>
      <c r="E71" s="151">
        <f>SUM(E72)</f>
        <v>8000</v>
      </c>
      <c r="F71" s="151">
        <f>SUM(F72)</f>
        <v>0</v>
      </c>
      <c r="G71" s="151">
        <f>SUM(G72)</f>
        <v>0</v>
      </c>
      <c r="H71" s="151">
        <f>SUM(H72)</f>
        <v>8000</v>
      </c>
    </row>
    <row r="72" spans="1:8" s="51" customFormat="1" ht="21.75" customHeight="1">
      <c r="A72" s="152"/>
      <c r="B72" s="153"/>
      <c r="C72" s="154" t="s">
        <v>234</v>
      </c>
      <c r="D72" s="159" t="s">
        <v>15</v>
      </c>
      <c r="E72" s="151">
        <f>7000+1000</f>
        <v>8000</v>
      </c>
      <c r="F72" s="262"/>
      <c r="G72" s="262"/>
      <c r="H72" s="175">
        <f t="shared" si="3"/>
        <v>8000</v>
      </c>
    </row>
    <row r="73" spans="1:8" s="95" customFormat="1" ht="21.75" customHeight="1">
      <c r="A73" s="80">
        <v>801</v>
      </c>
      <c r="B73" s="83"/>
      <c r="C73" s="84"/>
      <c r="D73" s="81" t="s">
        <v>133</v>
      </c>
      <c r="E73" s="133">
        <f>SUM(E74,E77)</f>
        <v>83000</v>
      </c>
      <c r="F73" s="133">
        <f>SUM(F74,F77)</f>
        <v>0</v>
      </c>
      <c r="G73" s="133">
        <f>SUM(G74,G77)</f>
        <v>0</v>
      </c>
      <c r="H73" s="133">
        <f>SUM(H74,H77)</f>
        <v>83000</v>
      </c>
    </row>
    <row r="74" spans="1:8" s="51" customFormat="1" ht="21.75" customHeight="1">
      <c r="A74" s="152"/>
      <c r="B74" s="153">
        <v>80101</v>
      </c>
      <c r="C74" s="154"/>
      <c r="D74" s="159" t="s">
        <v>64</v>
      </c>
      <c r="E74" s="151">
        <f>SUM(E75:E76)</f>
        <v>62000</v>
      </c>
      <c r="F74" s="151">
        <f>SUM(F75:F76)</f>
        <v>0</v>
      </c>
      <c r="G74" s="151">
        <f>SUM(G75:G76)</f>
        <v>0</v>
      </c>
      <c r="H74" s="151">
        <f>SUM(H75:H76)</f>
        <v>62000</v>
      </c>
    </row>
    <row r="75" spans="1:8" s="51" customFormat="1" ht="60">
      <c r="A75" s="152"/>
      <c r="B75" s="153"/>
      <c r="C75" s="154" t="s">
        <v>233</v>
      </c>
      <c r="D75" s="159" t="s">
        <v>70</v>
      </c>
      <c r="E75" s="151">
        <v>25000</v>
      </c>
      <c r="F75" s="262"/>
      <c r="G75" s="262"/>
      <c r="H75" s="175">
        <f t="shared" si="3"/>
        <v>25000</v>
      </c>
    </row>
    <row r="76" spans="1:8" s="51" customFormat="1" ht="21.75" customHeight="1">
      <c r="A76" s="152"/>
      <c r="B76" s="153"/>
      <c r="C76" s="154" t="s">
        <v>328</v>
      </c>
      <c r="D76" s="159" t="s">
        <v>329</v>
      </c>
      <c r="E76" s="151">
        <v>37000</v>
      </c>
      <c r="F76" s="262"/>
      <c r="G76" s="262"/>
      <c r="H76" s="175">
        <f t="shared" si="3"/>
        <v>37000</v>
      </c>
    </row>
    <row r="77" spans="1:8" s="51" customFormat="1" ht="21.75" customHeight="1">
      <c r="A77" s="152"/>
      <c r="B77" s="153">
        <v>80110</v>
      </c>
      <c r="C77" s="154"/>
      <c r="D77" s="159" t="s">
        <v>65</v>
      </c>
      <c r="E77" s="151">
        <f>SUM(E78:E79)</f>
        <v>21000</v>
      </c>
      <c r="F77" s="151">
        <f>SUM(F78:F79)</f>
        <v>0</v>
      </c>
      <c r="G77" s="151">
        <f>SUM(G78:G79)</f>
        <v>0</v>
      </c>
      <c r="H77" s="151">
        <f>SUM(H78:H79)</f>
        <v>21000</v>
      </c>
    </row>
    <row r="78" spans="1:8" s="51" customFormat="1" ht="56.25">
      <c r="A78" s="152"/>
      <c r="B78" s="153"/>
      <c r="C78" s="154" t="s">
        <v>233</v>
      </c>
      <c r="D78" s="159" t="s">
        <v>70</v>
      </c>
      <c r="E78" s="151">
        <v>13000</v>
      </c>
      <c r="F78" s="262"/>
      <c r="G78" s="262"/>
      <c r="H78" s="175">
        <f t="shared" si="3"/>
        <v>13000</v>
      </c>
    </row>
    <row r="79" spans="1:8" s="51" customFormat="1" ht="21.75" customHeight="1">
      <c r="A79" s="152"/>
      <c r="B79" s="153"/>
      <c r="C79" s="154" t="s">
        <v>328</v>
      </c>
      <c r="D79" s="159" t="s">
        <v>329</v>
      </c>
      <c r="E79" s="151">
        <v>8000</v>
      </c>
      <c r="F79" s="262"/>
      <c r="G79" s="262"/>
      <c r="H79" s="175">
        <f t="shared" si="3"/>
        <v>8000</v>
      </c>
    </row>
    <row r="80" spans="1:8" s="8" customFormat="1" ht="21.75" customHeight="1">
      <c r="A80" s="80" t="s">
        <v>225</v>
      </c>
      <c r="B80" s="4"/>
      <c r="C80" s="5"/>
      <c r="D80" s="81" t="s">
        <v>278</v>
      </c>
      <c r="E80" s="133">
        <f>SUM(E81,E83,E85,E88)</f>
        <v>6985400</v>
      </c>
      <c r="F80" s="133">
        <f>SUM(F81,F83,F85,F88)</f>
        <v>0</v>
      </c>
      <c r="G80" s="133">
        <f>SUM(G81,G83,G85,G88)</f>
        <v>0</v>
      </c>
      <c r="H80" s="133">
        <f>SUM(H81,H83,H85,H88)</f>
        <v>6985400</v>
      </c>
    </row>
    <row r="81" spans="1:8" s="51" customFormat="1" ht="33.75">
      <c r="A81" s="152"/>
      <c r="B81" s="118">
        <v>85212</v>
      </c>
      <c r="C81" s="161"/>
      <c r="D81" s="159" t="s">
        <v>276</v>
      </c>
      <c r="E81" s="151">
        <f>SUM(E82)</f>
        <v>5565000</v>
      </c>
      <c r="F81" s="151">
        <f>SUM(F82)</f>
        <v>0</v>
      </c>
      <c r="G81" s="151">
        <f>SUM(G82)</f>
        <v>0</v>
      </c>
      <c r="H81" s="151">
        <f>SUM(H82)</f>
        <v>5565000</v>
      </c>
    </row>
    <row r="82" spans="1:8" s="51" customFormat="1" ht="45">
      <c r="A82" s="152"/>
      <c r="B82" s="118"/>
      <c r="C82" s="161">
        <v>2010</v>
      </c>
      <c r="D82" s="159" t="s">
        <v>22</v>
      </c>
      <c r="E82" s="151">
        <v>5565000</v>
      </c>
      <c r="F82" s="262"/>
      <c r="G82" s="262"/>
      <c r="H82" s="175">
        <f t="shared" si="3"/>
        <v>5565000</v>
      </c>
    </row>
    <row r="83" spans="1:8" s="51" customFormat="1" ht="45">
      <c r="A83" s="152"/>
      <c r="B83" s="118">
        <v>85213</v>
      </c>
      <c r="C83" s="162"/>
      <c r="D83" s="159" t="s">
        <v>274</v>
      </c>
      <c r="E83" s="151">
        <f>SUM(E84)</f>
        <v>160900</v>
      </c>
      <c r="F83" s="151">
        <f>SUM(F84)</f>
        <v>0</v>
      </c>
      <c r="G83" s="151">
        <f>SUM(G84)</f>
        <v>0</v>
      </c>
      <c r="H83" s="151">
        <f>SUM(H84)</f>
        <v>160900</v>
      </c>
    </row>
    <row r="84" spans="1:8" s="51" customFormat="1" ht="45">
      <c r="A84" s="152"/>
      <c r="B84" s="118"/>
      <c r="C84" s="162">
        <v>2010</v>
      </c>
      <c r="D84" s="159" t="s">
        <v>22</v>
      </c>
      <c r="E84" s="151">
        <v>160900</v>
      </c>
      <c r="F84" s="262"/>
      <c r="G84" s="262"/>
      <c r="H84" s="175">
        <f t="shared" si="3"/>
        <v>160900</v>
      </c>
    </row>
    <row r="85" spans="1:8" s="51" customFormat="1" ht="22.5">
      <c r="A85" s="152"/>
      <c r="B85" s="153" t="s">
        <v>226</v>
      </c>
      <c r="C85" s="162"/>
      <c r="D85" s="159" t="s">
        <v>71</v>
      </c>
      <c r="E85" s="151">
        <f>SUM(E86:E87)</f>
        <v>851300</v>
      </c>
      <c r="F85" s="151">
        <f>SUM(F86:F87)</f>
        <v>0</v>
      </c>
      <c r="G85" s="151">
        <f>SUM(G86:G87)</f>
        <v>0</v>
      </c>
      <c r="H85" s="151">
        <f>SUM(H86:H87)</f>
        <v>851300</v>
      </c>
    </row>
    <row r="86" spans="1:8" s="51" customFormat="1" ht="45">
      <c r="A86" s="152"/>
      <c r="B86" s="153"/>
      <c r="C86" s="154">
        <v>2010</v>
      </c>
      <c r="D86" s="159" t="s">
        <v>22</v>
      </c>
      <c r="E86" s="151">
        <v>531100</v>
      </c>
      <c r="F86" s="262"/>
      <c r="G86" s="262"/>
      <c r="H86" s="175">
        <f t="shared" si="3"/>
        <v>531100</v>
      </c>
    </row>
    <row r="87" spans="1:8" s="51" customFormat="1" ht="43.5" customHeight="1">
      <c r="A87" s="152"/>
      <c r="B87" s="153"/>
      <c r="C87" s="154">
        <v>2030</v>
      </c>
      <c r="D87" s="159" t="s">
        <v>283</v>
      </c>
      <c r="E87" s="151">
        <v>320200</v>
      </c>
      <c r="F87" s="262"/>
      <c r="G87" s="262"/>
      <c r="H87" s="175">
        <f t="shared" si="3"/>
        <v>320200</v>
      </c>
    </row>
    <row r="88" spans="1:8" s="51" customFormat="1" ht="24.75" customHeight="1">
      <c r="A88" s="152"/>
      <c r="B88" s="153" t="s">
        <v>227</v>
      </c>
      <c r="C88" s="162"/>
      <c r="D88" s="159" t="s">
        <v>73</v>
      </c>
      <c r="E88" s="151">
        <f>SUM(E89:E90)</f>
        <v>408200</v>
      </c>
      <c r="F88" s="151">
        <f>SUM(F89:F90)</f>
        <v>0</v>
      </c>
      <c r="G88" s="151">
        <f>SUM(G89:G90)</f>
        <v>0</v>
      </c>
      <c r="H88" s="151">
        <f>SUM(H89:H90)</f>
        <v>408200</v>
      </c>
    </row>
    <row r="89" spans="1:8" s="51" customFormat="1" ht="22.5" customHeight="1">
      <c r="A89" s="152"/>
      <c r="B89" s="153"/>
      <c r="C89" s="161" t="s">
        <v>328</v>
      </c>
      <c r="D89" s="159" t="s">
        <v>329</v>
      </c>
      <c r="E89" s="151">
        <v>96000</v>
      </c>
      <c r="F89" s="262"/>
      <c r="G89" s="262"/>
      <c r="H89" s="175">
        <f t="shared" si="3"/>
        <v>96000</v>
      </c>
    </row>
    <row r="90" spans="1:8" s="51" customFormat="1" ht="33.75">
      <c r="A90" s="152"/>
      <c r="B90" s="153"/>
      <c r="C90" s="154">
        <v>2030</v>
      </c>
      <c r="D90" s="159" t="s">
        <v>283</v>
      </c>
      <c r="E90" s="151">
        <v>312200</v>
      </c>
      <c r="F90" s="262"/>
      <c r="G90" s="262"/>
      <c r="H90" s="175">
        <f t="shared" si="3"/>
        <v>312200</v>
      </c>
    </row>
    <row r="91" spans="1:9" s="95" customFormat="1" ht="23.25" customHeight="1">
      <c r="A91" s="80">
        <v>854</v>
      </c>
      <c r="B91" s="83"/>
      <c r="C91" s="84"/>
      <c r="D91" s="81" t="s">
        <v>74</v>
      </c>
      <c r="E91" s="133">
        <f>SUM(E92)</f>
        <v>97000</v>
      </c>
      <c r="F91" s="133">
        <f aca="true" t="shared" si="4" ref="F91:H92">SUM(F92)</f>
        <v>0</v>
      </c>
      <c r="G91" s="133">
        <f t="shared" si="4"/>
        <v>0</v>
      </c>
      <c r="H91" s="263">
        <f t="shared" si="4"/>
        <v>97000</v>
      </c>
      <c r="I91" s="264"/>
    </row>
    <row r="92" spans="1:8" s="51" customFormat="1" ht="24" customHeight="1">
      <c r="A92" s="152"/>
      <c r="B92" s="153">
        <v>85401</v>
      </c>
      <c r="C92" s="154"/>
      <c r="D92" s="159" t="s">
        <v>75</v>
      </c>
      <c r="E92" s="151">
        <f>SUM(E93)</f>
        <v>97000</v>
      </c>
      <c r="F92" s="151">
        <f t="shared" si="4"/>
        <v>0</v>
      </c>
      <c r="G92" s="151">
        <f t="shared" si="4"/>
        <v>0</v>
      </c>
      <c r="H92" s="151">
        <f t="shared" si="4"/>
        <v>97000</v>
      </c>
    </row>
    <row r="93" spans="1:8" s="51" customFormat="1" ht="20.25" customHeight="1">
      <c r="A93" s="152"/>
      <c r="B93" s="153"/>
      <c r="C93" s="154" t="s">
        <v>328</v>
      </c>
      <c r="D93" s="159" t="s">
        <v>329</v>
      </c>
      <c r="E93" s="151">
        <v>97000</v>
      </c>
      <c r="F93" s="262"/>
      <c r="G93" s="262"/>
      <c r="H93" s="175">
        <f t="shared" si="3"/>
        <v>97000</v>
      </c>
    </row>
    <row r="94" spans="1:8" s="10" customFormat="1" ht="24.75" customHeight="1">
      <c r="A94" s="80">
        <v>900</v>
      </c>
      <c r="B94" s="83"/>
      <c r="C94" s="84"/>
      <c r="D94" s="81" t="s">
        <v>76</v>
      </c>
      <c r="E94" s="133">
        <f>SUM(E95,E98,)</f>
        <v>13150970</v>
      </c>
      <c r="F94" s="133">
        <f>SUM(F95,F98,)</f>
        <v>944688</v>
      </c>
      <c r="G94" s="133">
        <f>SUM(G95,G98,)</f>
        <v>0</v>
      </c>
      <c r="H94" s="133">
        <f>SUM(H95,H98,)</f>
        <v>14095658</v>
      </c>
    </row>
    <row r="95" spans="1:8" s="51" customFormat="1" ht="21.75" customHeight="1">
      <c r="A95" s="152"/>
      <c r="B95" s="153">
        <v>90001</v>
      </c>
      <c r="C95" s="154"/>
      <c r="D95" s="159" t="s">
        <v>77</v>
      </c>
      <c r="E95" s="151">
        <f>SUM(E96:E97)</f>
        <v>13144970</v>
      </c>
      <c r="F95" s="151">
        <f>SUM(F96:F97)</f>
        <v>944688</v>
      </c>
      <c r="G95" s="151">
        <f>SUM(G96:G97)</f>
        <v>0</v>
      </c>
      <c r="H95" s="151">
        <f>SUM(H96:H97)</f>
        <v>14089658</v>
      </c>
    </row>
    <row r="96" spans="1:8" s="51" customFormat="1" ht="21.75" customHeight="1">
      <c r="A96" s="152"/>
      <c r="B96" s="153"/>
      <c r="C96" s="154" t="s">
        <v>235</v>
      </c>
      <c r="D96" s="159" t="s">
        <v>16</v>
      </c>
      <c r="E96" s="151">
        <v>5000</v>
      </c>
      <c r="F96" s="262"/>
      <c r="G96" s="262"/>
      <c r="H96" s="175">
        <f t="shared" si="3"/>
        <v>5000</v>
      </c>
    </row>
    <row r="97" spans="1:8" s="51" customFormat="1" ht="45">
      <c r="A97" s="152"/>
      <c r="B97" s="153"/>
      <c r="C97" s="154">
        <v>6298</v>
      </c>
      <c r="D97" s="159" t="s">
        <v>334</v>
      </c>
      <c r="E97" s="151">
        <f>754104-14134+12400000</f>
        <v>13139970</v>
      </c>
      <c r="F97" s="175">
        <v>944688</v>
      </c>
      <c r="G97" s="262"/>
      <c r="H97" s="175">
        <f t="shared" si="3"/>
        <v>14084658</v>
      </c>
    </row>
    <row r="98" spans="1:8" s="51" customFormat="1" ht="21.75" customHeight="1">
      <c r="A98" s="152"/>
      <c r="B98" s="153">
        <v>90095</v>
      </c>
      <c r="C98" s="154"/>
      <c r="D98" s="159" t="s">
        <v>6</v>
      </c>
      <c r="E98" s="151">
        <f>SUM(E99)</f>
        <v>6000</v>
      </c>
      <c r="F98" s="151">
        <f>SUM(F99)</f>
        <v>0</v>
      </c>
      <c r="G98" s="151">
        <f>SUM(G99)</f>
        <v>0</v>
      </c>
      <c r="H98" s="151">
        <f>SUM(H99)</f>
        <v>6000</v>
      </c>
    </row>
    <row r="99" spans="1:8" s="51" customFormat="1" ht="23.25" customHeight="1">
      <c r="A99" s="152"/>
      <c r="B99" s="153"/>
      <c r="C99" s="154" t="s">
        <v>253</v>
      </c>
      <c r="D99" s="159" t="s">
        <v>78</v>
      </c>
      <c r="E99" s="151">
        <v>6000</v>
      </c>
      <c r="F99" s="262"/>
      <c r="G99" s="262"/>
      <c r="H99" s="175">
        <f>SUM(E99+F99-G99)</f>
        <v>6000</v>
      </c>
    </row>
    <row r="100" spans="1:8" s="10" customFormat="1" ht="24.75" customHeight="1">
      <c r="A100" s="80" t="s">
        <v>79</v>
      </c>
      <c r="B100" s="4"/>
      <c r="C100" s="5"/>
      <c r="D100" s="81" t="s">
        <v>86</v>
      </c>
      <c r="E100" s="133">
        <f>SUM(E101,)</f>
        <v>45000</v>
      </c>
      <c r="F100" s="133">
        <f>SUM(F101,)</f>
        <v>0</v>
      </c>
      <c r="G100" s="133">
        <f>SUM(G101,)</f>
        <v>0</v>
      </c>
      <c r="H100" s="133">
        <f>SUM(H101,)</f>
        <v>45000</v>
      </c>
    </row>
    <row r="101" spans="1:8" s="51" customFormat="1" ht="21.75" customHeight="1">
      <c r="A101" s="152"/>
      <c r="B101" s="153" t="s">
        <v>80</v>
      </c>
      <c r="C101" s="162"/>
      <c r="D101" s="159" t="s">
        <v>81</v>
      </c>
      <c r="E101" s="151">
        <f>SUM(E102)</f>
        <v>45000</v>
      </c>
      <c r="F101" s="151">
        <f>SUM(F102)</f>
        <v>0</v>
      </c>
      <c r="G101" s="151">
        <f>SUM(G102)</f>
        <v>0</v>
      </c>
      <c r="H101" s="151">
        <f>SUM(H102)</f>
        <v>45000</v>
      </c>
    </row>
    <row r="102" spans="1:8" s="51" customFormat="1" ht="33.75">
      <c r="A102" s="153"/>
      <c r="B102" s="153"/>
      <c r="C102" s="154">
        <v>2320</v>
      </c>
      <c r="D102" s="159" t="s">
        <v>66</v>
      </c>
      <c r="E102" s="151">
        <v>45000</v>
      </c>
      <c r="F102" s="262"/>
      <c r="G102" s="262"/>
      <c r="H102" s="175">
        <f>SUM(E102+F102-G102)</f>
        <v>45000</v>
      </c>
    </row>
    <row r="103" spans="1:8" ht="26.25" customHeight="1">
      <c r="A103" s="29"/>
      <c r="B103" s="30"/>
      <c r="C103" s="31"/>
      <c r="D103" s="32" t="s">
        <v>84</v>
      </c>
      <c r="E103" s="133">
        <f>SUM(E100,E94,E91,E80,E73,E66,E35,E30,E27,E21,E15,E9,E12)</f>
        <v>54509128</v>
      </c>
      <c r="F103" s="133">
        <f>SUM(F100,F94,F91,F80,F73,F66,F35,F30,F27,F21,F15,F9,F12)</f>
        <v>982382</v>
      </c>
      <c r="G103" s="133">
        <f>SUM(G100,G94,G91,G80,G73,G66,G35,G30,G27,G21,G15,G9,G12)</f>
        <v>806739</v>
      </c>
      <c r="H103" s="133">
        <f>SUM(H100,H94,H91,H80,H73,H66,H35,H30,H27,H21,H15,H9,H12)</f>
        <v>54684771</v>
      </c>
    </row>
    <row r="104" spans="1:7" ht="24.75" customHeight="1">
      <c r="A104" s="71"/>
      <c r="B104" s="72"/>
      <c r="C104" s="72"/>
      <c r="D104" s="73"/>
      <c r="E104" s="47"/>
      <c r="F104" s="260"/>
      <c r="G104" s="120"/>
    </row>
    <row r="105" spans="6:8" ht="12.75">
      <c r="F105" s="260"/>
      <c r="G105" s="120"/>
      <c r="H105" s="229"/>
    </row>
    <row r="106" spans="6:7" ht="12.75">
      <c r="F106" s="261"/>
      <c r="G106" s="120"/>
    </row>
    <row r="109" spans="4:7" ht="12.75">
      <c r="D109" s="252"/>
      <c r="G109" s="120"/>
    </row>
    <row r="110" spans="4:7" ht="12.75">
      <c r="D110" s="252"/>
      <c r="G110" s="120"/>
    </row>
    <row r="111" spans="4:7" ht="12.75">
      <c r="D111" s="252"/>
      <c r="G111" s="120"/>
    </row>
    <row r="112" spans="4:7" ht="12.75">
      <c r="D112" s="252"/>
      <c r="G112" s="229"/>
    </row>
    <row r="113" ht="12.75">
      <c r="D113" s="252"/>
    </row>
    <row r="114" ht="12.75">
      <c r="D114" s="252"/>
    </row>
    <row r="115" ht="12.75">
      <c r="D115" s="252"/>
    </row>
    <row r="116" ht="12.75">
      <c r="D116" s="252"/>
    </row>
    <row r="117" spans="4:8" ht="12.75">
      <c r="D117" s="252"/>
      <c r="H117" s="120"/>
    </row>
    <row r="118" ht="12.75">
      <c r="D118" s="252"/>
    </row>
    <row r="119" ht="12.75">
      <c r="D119" s="252"/>
    </row>
    <row r="120" ht="12.75">
      <c r="D120" s="252"/>
    </row>
    <row r="121" ht="12.75">
      <c r="D121" s="251"/>
    </row>
    <row r="134" ht="12.75">
      <c r="E134" s="122"/>
    </row>
    <row r="135" ht="12.75">
      <c r="E135" s="122"/>
    </row>
  </sheetData>
  <mergeCells count="1">
    <mergeCell ref="A6:D6"/>
  </mergeCells>
  <printOptions horizontalCentered="1"/>
  <pageMargins left="0.7874015748031497" right="0.7874015748031497" top="0.7874015748031497" bottom="0.7874015748031497" header="0.5118110236220472" footer="0.31496062992125984"/>
  <pageSetup firstPageNumber="1" useFirstPageNumber="1" horizontalDpi="600" verticalDpi="600" orientation="portrait" paperSize="9" r:id="rId3"/>
  <headerFooter alignWithMargins="0">
    <oddFooter>&amp;C&amp;8Dochody - str. 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J7" sqref="J7"/>
    </sheetView>
  </sheetViews>
  <sheetFormatPr defaultColWidth="9.00390625" defaultRowHeight="12.75"/>
  <cols>
    <col min="1" max="1" width="7.125" style="0" customWidth="1"/>
    <col min="2" max="2" width="47.25390625" style="0" customWidth="1"/>
    <col min="3" max="4" width="11.75390625" style="0" hidden="1" customWidth="1"/>
    <col min="5" max="5" width="10.875" style="0" hidden="1" customWidth="1"/>
    <col min="6" max="6" width="10.75390625" style="0" hidden="1" customWidth="1"/>
    <col min="7" max="7" width="16.25390625" style="0" customWidth="1"/>
    <col min="8" max="8" width="16.75390625" style="0" customWidth="1"/>
  </cols>
  <sheetData>
    <row r="1" spans="3:8" ht="12.75">
      <c r="C1" s="130"/>
      <c r="D1" s="51"/>
      <c r="G1" s="130"/>
      <c r="H1" s="130" t="s">
        <v>305</v>
      </c>
    </row>
    <row r="2" spans="3:8" ht="12.75">
      <c r="C2" s="130"/>
      <c r="D2" s="51"/>
      <c r="G2" s="130"/>
      <c r="H2" s="130" t="s">
        <v>352</v>
      </c>
    </row>
    <row r="3" spans="3:8" ht="12.75">
      <c r="C3" s="130"/>
      <c r="D3" s="51"/>
      <c r="G3" s="130"/>
      <c r="H3" s="130" t="s">
        <v>208</v>
      </c>
    </row>
    <row r="4" spans="3:8" ht="12.75">
      <c r="C4" s="130"/>
      <c r="D4" s="51"/>
      <c r="G4" s="130"/>
      <c r="H4" s="130" t="s">
        <v>353</v>
      </c>
    </row>
    <row r="5" spans="1:4" ht="15.75">
      <c r="A5" s="333" t="s">
        <v>304</v>
      </c>
      <c r="B5" s="333"/>
      <c r="C5" s="333"/>
      <c r="D5" s="51"/>
    </row>
    <row r="7" spans="1:8" ht="20.25" customHeight="1">
      <c r="A7" s="334" t="s">
        <v>2</v>
      </c>
      <c r="B7" s="334" t="s">
        <v>3</v>
      </c>
      <c r="C7" s="335" t="s">
        <v>175</v>
      </c>
      <c r="D7" s="335"/>
      <c r="E7" s="335" t="s">
        <v>342</v>
      </c>
      <c r="F7" s="335"/>
      <c r="G7" s="335" t="s">
        <v>171</v>
      </c>
      <c r="H7" s="335"/>
    </row>
    <row r="8" spans="1:8" ht="21" customHeight="1">
      <c r="A8" s="334"/>
      <c r="B8" s="334"/>
      <c r="C8" s="33" t="s">
        <v>176</v>
      </c>
      <c r="D8" s="33" t="s">
        <v>177</v>
      </c>
      <c r="E8" s="33" t="s">
        <v>176</v>
      </c>
      <c r="F8" s="33" t="s">
        <v>177</v>
      </c>
      <c r="G8" s="33" t="s">
        <v>176</v>
      </c>
      <c r="H8" s="33" t="s">
        <v>177</v>
      </c>
    </row>
    <row r="9" spans="1:8" ht="39" customHeight="1">
      <c r="A9" s="25">
        <v>952</v>
      </c>
      <c r="B9" s="24" t="s">
        <v>209</v>
      </c>
      <c r="C9" s="15">
        <v>5000000</v>
      </c>
      <c r="D9" s="15">
        <v>0</v>
      </c>
      <c r="E9" s="291">
        <f>452400+50000</f>
        <v>502400</v>
      </c>
      <c r="F9" s="291">
        <v>0</v>
      </c>
      <c r="G9" s="15">
        <f aca="true" t="shared" si="0" ref="G9:H11">SUM(C9+E9)</f>
        <v>5502400</v>
      </c>
      <c r="H9" s="15">
        <f t="shared" si="0"/>
        <v>0</v>
      </c>
    </row>
    <row r="10" spans="1:8" ht="33.75" customHeight="1">
      <c r="A10" s="25">
        <v>982</v>
      </c>
      <c r="B10" s="24" t="s">
        <v>343</v>
      </c>
      <c r="C10" s="15"/>
      <c r="D10" s="15"/>
      <c r="E10" s="15"/>
      <c r="F10" s="15">
        <v>800000</v>
      </c>
      <c r="G10" s="15">
        <f t="shared" si="0"/>
        <v>0</v>
      </c>
      <c r="H10" s="15">
        <f t="shared" si="0"/>
        <v>800000</v>
      </c>
    </row>
    <row r="11" spans="1:8" ht="36.75" customHeight="1">
      <c r="A11" s="25">
        <v>992</v>
      </c>
      <c r="B11" s="24" t="s">
        <v>179</v>
      </c>
      <c r="C11" s="15">
        <v>0</v>
      </c>
      <c r="D11" s="15">
        <v>3938785</v>
      </c>
      <c r="E11" s="15">
        <v>0</v>
      </c>
      <c r="F11" s="15">
        <v>-800000</v>
      </c>
      <c r="G11" s="15">
        <f t="shared" si="0"/>
        <v>0</v>
      </c>
      <c r="H11" s="15">
        <f t="shared" si="0"/>
        <v>3138785</v>
      </c>
    </row>
    <row r="12" spans="1:8" ht="31.5" customHeight="1">
      <c r="A12" s="8"/>
      <c r="B12" s="25" t="s">
        <v>178</v>
      </c>
      <c r="C12" s="332">
        <f>SUM(C9:C11)-SUM(D9:D11)</f>
        <v>1061215</v>
      </c>
      <c r="D12" s="332"/>
      <c r="E12" s="332">
        <f>SUM(E9:E11)-SUM(F9:F11)</f>
        <v>502400</v>
      </c>
      <c r="F12" s="332"/>
      <c r="G12" s="332">
        <f>SUM(G9:G11)-SUM(H9:H11)</f>
        <v>1563615</v>
      </c>
      <c r="H12" s="332"/>
    </row>
  </sheetData>
  <mergeCells count="9">
    <mergeCell ref="E7:F7"/>
    <mergeCell ref="E12:F12"/>
    <mergeCell ref="G7:H7"/>
    <mergeCell ref="G12:H12"/>
    <mergeCell ref="C12:D12"/>
    <mergeCell ref="A5:C5"/>
    <mergeCell ref="A7:A8"/>
    <mergeCell ref="B7:B8"/>
    <mergeCell ref="C7:D7"/>
  </mergeCells>
  <printOptions horizontalCentered="1"/>
  <pageMargins left="0.984251968503937" right="0.7874015748031497" top="0.7874015748031497" bottom="0.7874015748031497" header="0.5118110236220472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I6" sqref="I6"/>
    </sheetView>
  </sheetViews>
  <sheetFormatPr defaultColWidth="9.00390625" defaultRowHeight="12.75"/>
  <cols>
    <col min="1" max="1" width="6.375" style="0" customWidth="1"/>
    <col min="2" max="2" width="7.75390625" style="0" customWidth="1"/>
    <col min="3" max="3" width="3.75390625" style="0" hidden="1" customWidth="1"/>
    <col min="4" max="4" width="13.375" style="0" customWidth="1"/>
    <col min="5" max="5" width="10.625" style="0" customWidth="1"/>
    <col min="6" max="6" width="13.00390625" style="0" customWidth="1"/>
    <col min="7" max="7" width="11.125" style="0" customWidth="1"/>
    <col min="8" max="8" width="10.625" style="0" bestFit="1" customWidth="1"/>
    <col min="9" max="9" width="10.75390625" style="0" customWidth="1"/>
    <col min="10" max="10" width="10.625" style="0" bestFit="1" customWidth="1"/>
    <col min="11" max="11" width="10.625" style="0" customWidth="1"/>
    <col min="12" max="12" width="10.75390625" style="0" customWidth="1"/>
  </cols>
  <sheetData>
    <row r="1" spans="10:11" ht="12.75">
      <c r="J1" s="130" t="s">
        <v>306</v>
      </c>
      <c r="K1" s="130"/>
    </row>
    <row r="2" spans="10:11" ht="12.75">
      <c r="J2" s="130" t="s">
        <v>352</v>
      </c>
      <c r="K2" s="130"/>
    </row>
    <row r="3" spans="10:11" ht="12.75">
      <c r="J3" s="130" t="s">
        <v>208</v>
      </c>
      <c r="K3" s="130"/>
    </row>
    <row r="4" spans="10:11" ht="12.75">
      <c r="J4" s="130" t="s">
        <v>353</v>
      </c>
      <c r="K4" s="130"/>
    </row>
    <row r="6" spans="1:12" ht="34.5" customHeight="1">
      <c r="A6" s="350" t="s">
        <v>330</v>
      </c>
      <c r="B6" s="350"/>
      <c r="C6" s="350"/>
      <c r="D6" s="350"/>
      <c r="E6" s="350"/>
      <c r="F6" s="350"/>
      <c r="G6" s="350"/>
      <c r="H6" s="350"/>
      <c r="I6" s="23"/>
      <c r="J6" s="23"/>
      <c r="K6" s="23"/>
      <c r="L6" s="23"/>
    </row>
    <row r="7" spans="1:12" ht="13.5" thickBo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2" ht="15.75" customHeight="1" thickBot="1">
      <c r="A8" s="341" t="s">
        <v>0</v>
      </c>
      <c r="B8" s="341" t="s">
        <v>1</v>
      </c>
      <c r="C8" s="344" t="s">
        <v>196</v>
      </c>
      <c r="D8" s="347" t="s">
        <v>3</v>
      </c>
      <c r="E8" s="353" t="s">
        <v>221</v>
      </c>
      <c r="F8" s="357" t="s">
        <v>176</v>
      </c>
      <c r="G8" s="344"/>
      <c r="H8" s="363" t="s">
        <v>177</v>
      </c>
      <c r="I8" s="364"/>
      <c r="J8" s="364"/>
      <c r="K8" s="365"/>
      <c r="L8" s="353" t="s">
        <v>221</v>
      </c>
    </row>
    <row r="9" spans="1:12" ht="13.5" thickBot="1">
      <c r="A9" s="342"/>
      <c r="B9" s="342"/>
      <c r="C9" s="345"/>
      <c r="D9" s="348"/>
      <c r="E9" s="354"/>
      <c r="F9" s="357" t="s">
        <v>84</v>
      </c>
      <c r="G9" s="77" t="s">
        <v>197</v>
      </c>
      <c r="H9" s="207" t="s">
        <v>84</v>
      </c>
      <c r="I9" s="338" t="s">
        <v>198</v>
      </c>
      <c r="J9" s="339"/>
      <c r="K9" s="340"/>
      <c r="L9" s="354"/>
    </row>
    <row r="10" spans="1:12" ht="22.5">
      <c r="A10" s="342"/>
      <c r="B10" s="342"/>
      <c r="C10" s="345"/>
      <c r="D10" s="348"/>
      <c r="E10" s="336" t="s">
        <v>199</v>
      </c>
      <c r="F10" s="361"/>
      <c r="G10" s="355" t="s">
        <v>200</v>
      </c>
      <c r="H10" s="207"/>
      <c r="I10" s="241" t="s">
        <v>256</v>
      </c>
      <c r="J10" s="240" t="s">
        <v>326</v>
      </c>
      <c r="K10" s="240" t="s">
        <v>201</v>
      </c>
      <c r="L10" s="336" t="s">
        <v>202</v>
      </c>
    </row>
    <row r="11" spans="1:12" ht="16.5" customHeight="1" thickBot="1">
      <c r="A11" s="343"/>
      <c r="B11" s="343"/>
      <c r="C11" s="346"/>
      <c r="D11" s="349"/>
      <c r="E11" s="337"/>
      <c r="F11" s="362"/>
      <c r="G11" s="356"/>
      <c r="H11" s="208"/>
      <c r="I11" s="209"/>
      <c r="J11" s="210"/>
      <c r="K11" s="210"/>
      <c r="L11" s="337"/>
    </row>
    <row r="12" spans="1:12" ht="19.5" customHeight="1" thickBot="1">
      <c r="A12" s="64">
        <v>801</v>
      </c>
      <c r="B12" s="104"/>
      <c r="C12" s="63"/>
      <c r="D12" s="108" t="s">
        <v>133</v>
      </c>
      <c r="E12" s="58"/>
      <c r="F12" s="59"/>
      <c r="G12" s="106"/>
      <c r="H12" s="59"/>
      <c r="I12" s="58"/>
      <c r="J12" s="60"/>
      <c r="K12" s="60"/>
      <c r="L12" s="61"/>
    </row>
    <row r="13" spans="1:12" ht="12.75">
      <c r="A13" s="62"/>
      <c r="B13" s="105"/>
      <c r="C13" s="65"/>
      <c r="D13" s="107"/>
      <c r="E13" s="358"/>
      <c r="F13" s="359"/>
      <c r="G13" s="359"/>
      <c r="H13" s="359"/>
      <c r="I13" s="359"/>
      <c r="J13" s="359"/>
      <c r="K13" s="359"/>
      <c r="L13" s="360"/>
    </row>
    <row r="14" spans="1:12" ht="0.75" customHeight="1" thickBot="1">
      <c r="A14" s="62"/>
      <c r="B14" s="105">
        <v>80104</v>
      </c>
      <c r="C14" s="225"/>
      <c r="D14" s="226" t="s">
        <v>284</v>
      </c>
      <c r="E14" s="239">
        <v>-144574</v>
      </c>
      <c r="F14" s="223">
        <f>2653473+262383+187577+7821-100000</f>
        <v>3011254</v>
      </c>
      <c r="G14" s="175">
        <f>2653473-100000</f>
        <v>2553473</v>
      </c>
      <c r="H14" s="223">
        <f>SUM(I14:K14)</f>
        <v>3011254</v>
      </c>
      <c r="I14" s="237">
        <f>2225967</f>
        <v>2225967</v>
      </c>
      <c r="J14" s="237">
        <v>44100</v>
      </c>
      <c r="K14" s="237">
        <f>841187-100000</f>
        <v>741187</v>
      </c>
      <c r="L14" s="239">
        <f>SUM(E14+F14-H14)</f>
        <v>-144574</v>
      </c>
    </row>
    <row r="15" spans="1:12" ht="19.5" customHeight="1" hidden="1" thickBot="1">
      <c r="A15" s="62"/>
      <c r="B15" s="288"/>
      <c r="C15" s="289"/>
      <c r="D15" s="226" t="s">
        <v>346</v>
      </c>
      <c r="E15" s="237">
        <v>0</v>
      </c>
      <c r="F15" s="175">
        <f>SUM(G15)</f>
        <v>-46911</v>
      </c>
      <c r="G15" s="175">
        <v>-46911</v>
      </c>
      <c r="H15" s="175">
        <f>SUM(I15:K15)</f>
        <v>-46911</v>
      </c>
      <c r="I15" s="237">
        <v>-47161</v>
      </c>
      <c r="J15" s="237">
        <v>0</v>
      </c>
      <c r="K15" s="237">
        <v>250</v>
      </c>
      <c r="L15" s="237">
        <f>SUM(E15+F15-H15)</f>
        <v>0</v>
      </c>
    </row>
    <row r="16" spans="1:12" ht="23.25" thickBot="1">
      <c r="A16" s="62"/>
      <c r="B16" s="213">
        <v>80104</v>
      </c>
      <c r="C16" s="289"/>
      <c r="D16" s="226" t="s">
        <v>284</v>
      </c>
      <c r="E16" s="239">
        <f>SUM(E14:E15)</f>
        <v>-144574</v>
      </c>
      <c r="F16" s="239">
        <f aca="true" t="shared" si="0" ref="F16:L16">SUM(F14:F15)</f>
        <v>2964343</v>
      </c>
      <c r="G16" s="239">
        <f t="shared" si="0"/>
        <v>2506562</v>
      </c>
      <c r="H16" s="239">
        <f t="shared" si="0"/>
        <v>2964343</v>
      </c>
      <c r="I16" s="239">
        <f t="shared" si="0"/>
        <v>2178806</v>
      </c>
      <c r="J16" s="239">
        <f t="shared" si="0"/>
        <v>44100</v>
      </c>
      <c r="K16" s="239">
        <f t="shared" si="0"/>
        <v>741437</v>
      </c>
      <c r="L16" s="239">
        <f t="shared" si="0"/>
        <v>-144574</v>
      </c>
    </row>
    <row r="17" spans="1:13" s="215" customFormat="1" ht="45.75" thickBot="1">
      <c r="A17" s="214"/>
      <c r="B17" s="213">
        <v>80146</v>
      </c>
      <c r="D17" s="181" t="s">
        <v>285</v>
      </c>
      <c r="E17" s="223">
        <v>0</v>
      </c>
      <c r="F17" s="223">
        <f>SUM(G17)</f>
        <v>9893</v>
      </c>
      <c r="G17" s="175">
        <v>9893</v>
      </c>
      <c r="H17" s="223">
        <f>SUM(I17:K17)</f>
        <v>9893</v>
      </c>
      <c r="I17" s="175">
        <v>0</v>
      </c>
      <c r="J17" s="175">
        <v>0</v>
      </c>
      <c r="K17" s="175">
        <v>9893</v>
      </c>
      <c r="L17" s="239">
        <f>SUM(E17+F17-H17)</f>
        <v>0</v>
      </c>
      <c r="M17" s="121"/>
    </row>
    <row r="18" spans="1:12" s="215" customFormat="1" ht="28.5" customHeight="1" thickBot="1">
      <c r="A18" s="351">
        <v>801</v>
      </c>
      <c r="B18" s="352"/>
      <c r="D18" s="216" t="s">
        <v>84</v>
      </c>
      <c r="E18" s="238">
        <f>SUM(E16:E17)</f>
        <v>-144574</v>
      </c>
      <c r="F18" s="238">
        <f aca="true" t="shared" si="1" ref="F18:L18">SUM(F16:F17)</f>
        <v>2974236</v>
      </c>
      <c r="G18" s="238">
        <f t="shared" si="1"/>
        <v>2516455</v>
      </c>
      <c r="H18" s="238">
        <f t="shared" si="1"/>
        <v>2974236</v>
      </c>
      <c r="I18" s="238">
        <f t="shared" si="1"/>
        <v>2178806</v>
      </c>
      <c r="J18" s="238">
        <f t="shared" si="1"/>
        <v>44100</v>
      </c>
      <c r="K18" s="238">
        <f t="shared" si="1"/>
        <v>751330</v>
      </c>
      <c r="L18" s="238">
        <f t="shared" si="1"/>
        <v>-144574</v>
      </c>
    </row>
    <row r="19" s="211" customFormat="1" ht="11.25">
      <c r="D19" s="212"/>
    </row>
    <row r="20" s="187" customFormat="1" ht="11.25"/>
    <row r="21" spans="10:11" s="187" customFormat="1" ht="11.25">
      <c r="J21" s="130"/>
      <c r="K21" s="130"/>
    </row>
    <row r="22" spans="10:11" s="187" customFormat="1" ht="11.25">
      <c r="J22" s="130"/>
      <c r="K22" s="130"/>
    </row>
    <row r="23" spans="10:11" s="187" customFormat="1" ht="11.25">
      <c r="J23" s="130"/>
      <c r="K23" s="130"/>
    </row>
    <row r="24" spans="10:11" s="187" customFormat="1" ht="11.25">
      <c r="J24" s="130"/>
      <c r="K24" s="130"/>
    </row>
    <row r="25" s="187" customFormat="1" ht="11.25"/>
  </sheetData>
  <mergeCells count="16">
    <mergeCell ref="A6:H6"/>
    <mergeCell ref="A18:B18"/>
    <mergeCell ref="E8:E9"/>
    <mergeCell ref="G10:G11"/>
    <mergeCell ref="F8:G8"/>
    <mergeCell ref="E13:L13"/>
    <mergeCell ref="F9:F11"/>
    <mergeCell ref="L10:L11"/>
    <mergeCell ref="H8:K8"/>
    <mergeCell ref="L8:L9"/>
    <mergeCell ref="E10:E11"/>
    <mergeCell ref="I9:K9"/>
    <mergeCell ref="A8:A11"/>
    <mergeCell ref="B8:B11"/>
    <mergeCell ref="C8:C11"/>
    <mergeCell ref="D8:D11"/>
  </mergeCells>
  <printOptions horizontalCentered="1"/>
  <pageMargins left="0.7874015748031497" right="0.7874015748031497" top="0.984251968503937" bottom="0.7874015748031497" header="0.5118110236220472" footer="0.31496062992125984"/>
  <pageSetup firstPageNumber="1" useFirstPageNumber="1" horizontalDpi="600" verticalDpi="600" orientation="landscape" paperSize="9" r:id="rId1"/>
  <headerFooter alignWithMargins="0"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G11" sqref="G11"/>
    </sheetView>
  </sheetViews>
  <sheetFormatPr defaultColWidth="9.00390625" defaultRowHeight="12.75"/>
  <cols>
    <col min="1" max="1" width="4.75390625" style="10" bestFit="1" customWidth="1"/>
    <col min="2" max="2" width="7.25390625" style="10" bestFit="1" customWidth="1"/>
    <col min="3" max="3" width="5.75390625" style="10" customWidth="1"/>
    <col min="4" max="4" width="38.625" style="10" customWidth="1"/>
    <col min="5" max="5" width="18.375" style="10" customWidth="1"/>
  </cols>
  <sheetData>
    <row r="1" ht="12.75">
      <c r="E1" s="51" t="s">
        <v>211</v>
      </c>
    </row>
    <row r="2" ht="12.75">
      <c r="E2" s="68" t="s">
        <v>352</v>
      </c>
    </row>
    <row r="3" ht="12.75">
      <c r="E3" s="68" t="s">
        <v>208</v>
      </c>
    </row>
    <row r="4" ht="12.75">
      <c r="E4" s="68" t="s">
        <v>353</v>
      </c>
    </row>
    <row r="8" spans="1:5" ht="43.5" customHeight="1">
      <c r="A8" s="366" t="s">
        <v>307</v>
      </c>
      <c r="B8" s="366"/>
      <c r="C8" s="366"/>
      <c r="D8" s="366"/>
      <c r="E8" s="366"/>
    </row>
    <row r="9" spans="1:5" ht="17.25" customHeight="1">
      <c r="A9" s="96"/>
      <c r="B9" s="96"/>
      <c r="C9" s="96"/>
      <c r="D9" s="96"/>
      <c r="E9" s="96"/>
    </row>
    <row r="10" spans="1:5" ht="12.75">
      <c r="A10" s="96"/>
      <c r="B10" s="96"/>
      <c r="C10" s="96"/>
      <c r="D10" s="96"/>
      <c r="E10" s="69"/>
    </row>
    <row r="11" spans="1:5" ht="24.75" customHeight="1">
      <c r="A11" s="26" t="s">
        <v>0</v>
      </c>
      <c r="B11" s="26" t="s">
        <v>1</v>
      </c>
      <c r="C11" s="26" t="s">
        <v>2</v>
      </c>
      <c r="D11" s="32" t="s">
        <v>3</v>
      </c>
      <c r="E11" s="40" t="s">
        <v>85</v>
      </c>
    </row>
    <row r="12" spans="1:5" ht="24.75" customHeight="1">
      <c r="A12" s="83" t="s">
        <v>19</v>
      </c>
      <c r="B12" s="6"/>
      <c r="C12" s="45"/>
      <c r="D12" s="81" t="s">
        <v>20</v>
      </c>
      <c r="E12" s="97">
        <f>SUM(E13)</f>
        <v>75000</v>
      </c>
    </row>
    <row r="13" spans="1:5" ht="24.75" customHeight="1">
      <c r="A13" s="3"/>
      <c r="B13" s="3">
        <v>75011</v>
      </c>
      <c r="C13" s="5"/>
      <c r="D13" s="38" t="s">
        <v>21</v>
      </c>
      <c r="E13" s="41">
        <f>SUM(E14)</f>
        <v>75000</v>
      </c>
    </row>
    <row r="14" spans="1:5" ht="41.25" customHeight="1">
      <c r="A14" s="3"/>
      <c r="B14" s="4"/>
      <c r="C14" s="13">
        <v>2350</v>
      </c>
      <c r="D14" s="38" t="s">
        <v>210</v>
      </c>
      <c r="E14" s="41">
        <v>75000</v>
      </c>
    </row>
    <row r="15" spans="1:5" ht="24.75" customHeight="1">
      <c r="A15" s="17"/>
      <c r="B15" s="17"/>
      <c r="C15" s="17"/>
      <c r="D15" s="32" t="s">
        <v>84</v>
      </c>
      <c r="E15" s="97">
        <f>SUM(E12)</f>
        <v>75000</v>
      </c>
    </row>
  </sheetData>
  <mergeCells count="1">
    <mergeCell ref="A8:E8"/>
  </mergeCells>
  <printOptions horizontalCentered="1"/>
  <pageMargins left="0.984251968503937" right="0.7874015748031497" top="0.7874015748031497" bottom="0.7874015748031497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7"/>
  <sheetViews>
    <sheetView workbookViewId="0" topLeftCell="A296">
      <selection activeCell="J7" sqref="J7"/>
    </sheetView>
  </sheetViews>
  <sheetFormatPr defaultColWidth="9.00390625" defaultRowHeight="12.75"/>
  <cols>
    <col min="1" max="1" width="4.375" style="10" customWidth="1"/>
    <col min="2" max="2" width="7.375" style="10" customWidth="1"/>
    <col min="3" max="3" width="5.125" style="10" customWidth="1"/>
    <col min="4" max="4" width="37.375" style="10" customWidth="1"/>
    <col min="5" max="5" width="11.25390625" style="78" hidden="1" customWidth="1"/>
    <col min="6" max="6" width="11.00390625" style="236" hidden="1" customWidth="1"/>
    <col min="7" max="7" width="13.125" style="245" hidden="1" customWidth="1"/>
    <col min="8" max="8" width="17.75390625" style="120" customWidth="1"/>
    <col min="9" max="9" width="11.00390625" style="120" customWidth="1"/>
    <col min="10" max="10" width="12.75390625" style="0" bestFit="1" customWidth="1"/>
    <col min="11" max="11" width="12.75390625" style="120" bestFit="1" customWidth="1"/>
    <col min="12" max="12" width="12.00390625" style="0" customWidth="1"/>
  </cols>
  <sheetData>
    <row r="1" spans="1:9" ht="12.75">
      <c r="A1" s="279"/>
      <c r="B1" s="279"/>
      <c r="C1" s="279"/>
      <c r="D1" s="279"/>
      <c r="E1" s="250"/>
      <c r="F1" s="250"/>
      <c r="G1" s="130"/>
      <c r="H1" s="130" t="s">
        <v>292</v>
      </c>
      <c r="I1" s="130"/>
    </row>
    <row r="2" spans="1:9" ht="12.75">
      <c r="A2" s="279"/>
      <c r="B2" s="279"/>
      <c r="C2" s="279"/>
      <c r="D2" s="279"/>
      <c r="E2" s="250"/>
      <c r="F2" s="250"/>
      <c r="G2" s="130"/>
      <c r="H2" s="130" t="s">
        <v>352</v>
      </c>
      <c r="I2" s="130"/>
    </row>
    <row r="3" spans="1:9" ht="12.75">
      <c r="A3" s="279"/>
      <c r="B3" s="279"/>
      <c r="C3" s="279"/>
      <c r="D3" s="279"/>
      <c r="E3" s="250"/>
      <c r="F3" s="250"/>
      <c r="G3" s="130"/>
      <c r="H3" s="130" t="s">
        <v>208</v>
      </c>
      <c r="I3" s="130"/>
    </row>
    <row r="4" spans="1:9" ht="12.75">
      <c r="A4" s="279"/>
      <c r="B4" s="279"/>
      <c r="C4" s="279"/>
      <c r="D4" s="279"/>
      <c r="E4" s="250"/>
      <c r="F4" s="250"/>
      <c r="G4" s="130"/>
      <c r="H4" s="130" t="s">
        <v>353</v>
      </c>
      <c r="I4" s="130"/>
    </row>
    <row r="5" spans="1:7" ht="12.75">
      <c r="A5" s="279"/>
      <c r="B5" s="279"/>
      <c r="C5" s="279"/>
      <c r="D5" s="279"/>
      <c r="E5" s="280"/>
      <c r="F5" s="250"/>
      <c r="G5" s="257"/>
    </row>
    <row r="6" spans="1:7" ht="21" customHeight="1">
      <c r="A6" s="317" t="s">
        <v>291</v>
      </c>
      <c r="B6" s="317"/>
      <c r="C6" s="317"/>
      <c r="D6" s="317"/>
      <c r="E6" s="281"/>
      <c r="G6" s="257"/>
    </row>
    <row r="7" spans="1:7" ht="12.75">
      <c r="A7" s="282"/>
      <c r="B7" s="282"/>
      <c r="C7" s="282"/>
      <c r="D7" s="283"/>
      <c r="E7" s="284"/>
      <c r="G7" s="257"/>
    </row>
    <row r="8" spans="1:9" ht="24.75" customHeight="1">
      <c r="A8" s="197" t="s">
        <v>0</v>
      </c>
      <c r="B8" s="228" t="s">
        <v>1</v>
      </c>
      <c r="C8" s="88" t="s">
        <v>2</v>
      </c>
      <c r="D8" s="88" t="s">
        <v>3</v>
      </c>
      <c r="E8" s="136" t="s">
        <v>171</v>
      </c>
      <c r="F8" s="14" t="s">
        <v>337</v>
      </c>
      <c r="G8" s="258" t="s">
        <v>338</v>
      </c>
      <c r="H8" s="259" t="s">
        <v>175</v>
      </c>
      <c r="I8" s="300"/>
    </row>
    <row r="9" spans="1:11" s="23" customFormat="1" ht="21.75" customHeight="1">
      <c r="A9" s="86" t="s">
        <v>4</v>
      </c>
      <c r="B9" s="137"/>
      <c r="C9" s="138"/>
      <c r="D9" s="89" t="s">
        <v>5</v>
      </c>
      <c r="E9" s="90">
        <f>SUM(E10)</f>
        <v>8766</v>
      </c>
      <c r="F9" s="145">
        <f aca="true" t="shared" si="0" ref="F9:H10">SUM(F10)</f>
        <v>0</v>
      </c>
      <c r="G9" s="145">
        <f t="shared" si="0"/>
        <v>0</v>
      </c>
      <c r="H9" s="145">
        <f t="shared" si="0"/>
        <v>8766</v>
      </c>
      <c r="I9" s="301"/>
      <c r="K9" s="229"/>
    </row>
    <row r="10" spans="1:11" s="51" customFormat="1" ht="21.75" customHeight="1">
      <c r="A10" s="147"/>
      <c r="B10" s="165" t="s">
        <v>87</v>
      </c>
      <c r="C10" s="150"/>
      <c r="D10" s="91" t="s">
        <v>88</v>
      </c>
      <c r="E10" s="163">
        <f>SUM(E11)</f>
        <v>8766</v>
      </c>
      <c r="F10" s="177">
        <f t="shared" si="0"/>
        <v>0</v>
      </c>
      <c r="G10" s="177">
        <f t="shared" si="0"/>
        <v>0</v>
      </c>
      <c r="H10" s="177">
        <f t="shared" si="0"/>
        <v>8766</v>
      </c>
      <c r="I10" s="302"/>
      <c r="K10" s="244"/>
    </row>
    <row r="11" spans="1:11" s="51" customFormat="1" ht="29.25" customHeight="1">
      <c r="A11" s="166"/>
      <c r="B11" s="167"/>
      <c r="C11" s="150">
        <v>2850</v>
      </c>
      <c r="D11" s="91" t="s">
        <v>89</v>
      </c>
      <c r="E11" s="163">
        <v>8766</v>
      </c>
      <c r="F11" s="168"/>
      <c r="G11" s="168"/>
      <c r="H11" s="175">
        <f>SUM(E11+F11-G11)</f>
        <v>8766</v>
      </c>
      <c r="I11" s="271"/>
      <c r="K11" s="244"/>
    </row>
    <row r="12" spans="1:11" s="8" customFormat="1" ht="21.75" customHeight="1">
      <c r="A12" s="86" t="s">
        <v>92</v>
      </c>
      <c r="B12" s="87"/>
      <c r="C12" s="88"/>
      <c r="D12" s="89" t="s">
        <v>93</v>
      </c>
      <c r="E12" s="90">
        <f>SUM(E13)</f>
        <v>896621</v>
      </c>
      <c r="F12" s="90">
        <f>SUM(F13)</f>
        <v>240000</v>
      </c>
      <c r="G12" s="90">
        <f>SUM(G13)</f>
        <v>0</v>
      </c>
      <c r="H12" s="90">
        <f>SUM(H13)</f>
        <v>1136621</v>
      </c>
      <c r="I12" s="303"/>
      <c r="K12" s="278"/>
    </row>
    <row r="13" spans="1:11" s="51" customFormat="1" ht="21.75" customHeight="1">
      <c r="A13" s="147"/>
      <c r="B13" s="165" t="s">
        <v>94</v>
      </c>
      <c r="C13" s="169"/>
      <c r="D13" s="91" t="s">
        <v>95</v>
      </c>
      <c r="E13" s="163">
        <f>SUM(E14:E18)</f>
        <v>896621</v>
      </c>
      <c r="F13" s="163">
        <f>SUM(F14:F18)</f>
        <v>240000</v>
      </c>
      <c r="G13" s="163">
        <f>SUM(G14:G18)</f>
        <v>0</v>
      </c>
      <c r="H13" s="163">
        <f>SUM(H14:H18)</f>
        <v>1136621</v>
      </c>
      <c r="I13" s="280"/>
      <c r="K13" s="244"/>
    </row>
    <row r="14" spans="1:11" s="51" customFormat="1" ht="21.75" customHeight="1">
      <c r="A14" s="147"/>
      <c r="B14" s="170"/>
      <c r="C14" s="147">
        <v>4210</v>
      </c>
      <c r="D14" s="91" t="s">
        <v>90</v>
      </c>
      <c r="E14" s="163">
        <v>26175</v>
      </c>
      <c r="F14" s="168"/>
      <c r="G14" s="168"/>
      <c r="H14" s="175">
        <f>SUM(E14+F14-G14)</f>
        <v>26175</v>
      </c>
      <c r="I14" s="271"/>
      <c r="K14" s="244"/>
    </row>
    <row r="15" spans="1:11" s="51" customFormat="1" ht="21.75" customHeight="1">
      <c r="A15" s="147"/>
      <c r="B15" s="170"/>
      <c r="C15" s="147">
        <v>4270</v>
      </c>
      <c r="D15" s="91" t="s">
        <v>96</v>
      </c>
      <c r="E15" s="163">
        <f>25000+20000+100000-50000</f>
        <v>95000</v>
      </c>
      <c r="F15" s="292">
        <v>40000</v>
      </c>
      <c r="G15" s="292"/>
      <c r="H15" s="292">
        <f aca="true" t="shared" si="1" ref="H15:H77">SUM(E15+F15-G15)</f>
        <v>135000</v>
      </c>
      <c r="I15" s="304"/>
      <c r="K15" s="244"/>
    </row>
    <row r="16" spans="1:11" s="51" customFormat="1" ht="21.75" customHeight="1">
      <c r="A16" s="147"/>
      <c r="B16" s="170"/>
      <c r="C16" s="147">
        <v>4300</v>
      </c>
      <c r="D16" s="91" t="s">
        <v>97</v>
      </c>
      <c r="E16" s="163">
        <f>40103+25000+40000+40000</f>
        <v>145103</v>
      </c>
      <c r="F16" s="168"/>
      <c r="G16" s="168"/>
      <c r="H16" s="175">
        <f t="shared" si="1"/>
        <v>145103</v>
      </c>
      <c r="I16" s="271"/>
      <c r="J16" s="244"/>
      <c r="K16" s="244"/>
    </row>
    <row r="17" spans="1:11" s="51" customFormat="1" ht="18" customHeight="1">
      <c r="A17" s="147"/>
      <c r="B17" s="170"/>
      <c r="C17" s="147">
        <v>6050</v>
      </c>
      <c r="D17" s="91" t="s">
        <v>91</v>
      </c>
      <c r="E17" s="163">
        <f>30343+600000</f>
        <v>630343</v>
      </c>
      <c r="F17" s="168"/>
      <c r="G17" s="168"/>
      <c r="H17" s="175">
        <f t="shared" si="1"/>
        <v>630343</v>
      </c>
      <c r="I17" s="271"/>
      <c r="J17" s="244"/>
      <c r="K17" s="244"/>
    </row>
    <row r="18" spans="1:11" s="51" customFormat="1" ht="21.75" customHeight="1">
      <c r="A18" s="147"/>
      <c r="B18" s="170"/>
      <c r="C18" s="147">
        <v>6800</v>
      </c>
      <c r="D18" s="91" t="s">
        <v>347</v>
      </c>
      <c r="E18" s="163">
        <v>0</v>
      </c>
      <c r="F18" s="292">
        <v>200000</v>
      </c>
      <c r="G18" s="292"/>
      <c r="H18" s="292">
        <f>SUM(E18+F18-G18)</f>
        <v>200000</v>
      </c>
      <c r="I18" s="304"/>
      <c r="J18" s="244"/>
      <c r="K18" s="244"/>
    </row>
    <row r="19" spans="1:11" s="8" customFormat="1" ht="21.75" customHeight="1">
      <c r="A19" s="86" t="s">
        <v>11</v>
      </c>
      <c r="B19" s="87"/>
      <c r="C19" s="88"/>
      <c r="D19" s="89" t="s">
        <v>12</v>
      </c>
      <c r="E19" s="90">
        <f>SUM(E20,E23,E26,)</f>
        <v>592300</v>
      </c>
      <c r="F19" s="90">
        <f>SUM(F20,F23,F26,)</f>
        <v>3200</v>
      </c>
      <c r="G19" s="90">
        <f>SUM(G20,G23,G26,)</f>
        <v>0</v>
      </c>
      <c r="H19" s="90">
        <f>SUM(H20,H23,H26,)</f>
        <v>595500</v>
      </c>
      <c r="I19" s="303"/>
      <c r="K19" s="278"/>
    </row>
    <row r="20" spans="1:11" s="51" customFormat="1" ht="21.75" customHeight="1">
      <c r="A20" s="147"/>
      <c r="B20" s="165" t="s">
        <v>13</v>
      </c>
      <c r="C20" s="169"/>
      <c r="D20" s="91" t="s">
        <v>213</v>
      </c>
      <c r="E20" s="163">
        <f>SUM(E21:E22)</f>
        <v>115000</v>
      </c>
      <c r="F20" s="163">
        <f>SUM(F21:F22)</f>
        <v>3200</v>
      </c>
      <c r="G20" s="163">
        <f>SUM(G21:G22)</f>
        <v>0</v>
      </c>
      <c r="H20" s="163">
        <f>SUM(H21:H22)</f>
        <v>118200</v>
      </c>
      <c r="I20" s="280"/>
      <c r="K20" s="244"/>
    </row>
    <row r="21" spans="1:11" s="51" customFormat="1" ht="21.75" customHeight="1">
      <c r="A21" s="147"/>
      <c r="B21" s="165"/>
      <c r="C21" s="169">
        <v>4510</v>
      </c>
      <c r="D21" s="91" t="s">
        <v>207</v>
      </c>
      <c r="E21" s="163">
        <v>3500</v>
      </c>
      <c r="F21" s="168">
        <v>3200</v>
      </c>
      <c r="G21" s="168"/>
      <c r="H21" s="175">
        <f t="shared" si="1"/>
        <v>6700</v>
      </c>
      <c r="I21" s="271"/>
      <c r="K21" s="244"/>
    </row>
    <row r="22" spans="1:11" s="51" customFormat="1" ht="21.75" customHeight="1">
      <c r="A22" s="147"/>
      <c r="B22" s="170"/>
      <c r="C22" s="147">
        <v>4300</v>
      </c>
      <c r="D22" s="91" t="s">
        <v>97</v>
      </c>
      <c r="E22" s="163">
        <f>100000+10000+10000+1500-10000</f>
        <v>111500</v>
      </c>
      <c r="F22" s="168"/>
      <c r="G22" s="168"/>
      <c r="H22" s="175">
        <f t="shared" si="1"/>
        <v>111500</v>
      </c>
      <c r="I22" s="271"/>
      <c r="K22" s="244"/>
    </row>
    <row r="23" spans="1:11" s="51" customFormat="1" ht="21.75" customHeight="1">
      <c r="A23" s="147"/>
      <c r="B23" s="170">
        <v>70021</v>
      </c>
      <c r="C23" s="147"/>
      <c r="D23" s="91" t="s">
        <v>260</v>
      </c>
      <c r="E23" s="163">
        <f>SUM(E24:E25)</f>
        <v>425000</v>
      </c>
      <c r="F23" s="163">
        <f>SUM(F24:F25)</f>
        <v>0</v>
      </c>
      <c r="G23" s="163">
        <f>SUM(G24:G25)</f>
        <v>0</v>
      </c>
      <c r="H23" s="163">
        <f>SUM(H24:H25)</f>
        <v>425000</v>
      </c>
      <c r="I23" s="280"/>
      <c r="K23" s="244"/>
    </row>
    <row r="24" spans="1:11" s="51" customFormat="1" ht="21.75" customHeight="1">
      <c r="A24" s="147"/>
      <c r="B24" s="170"/>
      <c r="C24" s="147">
        <v>4300</v>
      </c>
      <c r="D24" s="91" t="s">
        <v>97</v>
      </c>
      <c r="E24" s="163">
        <f>100000-50000</f>
        <v>50000</v>
      </c>
      <c r="F24" s="168"/>
      <c r="G24" s="168"/>
      <c r="H24" s="175">
        <f t="shared" si="1"/>
        <v>50000</v>
      </c>
      <c r="I24" s="271"/>
      <c r="K24" s="244"/>
    </row>
    <row r="25" spans="1:11" s="51" customFormat="1" ht="21.75" customHeight="1">
      <c r="A25" s="147"/>
      <c r="B25" s="170"/>
      <c r="C25" s="147">
        <v>6050</v>
      </c>
      <c r="D25" s="91" t="s">
        <v>91</v>
      </c>
      <c r="E25" s="163">
        <v>375000</v>
      </c>
      <c r="F25" s="168"/>
      <c r="G25" s="168"/>
      <c r="H25" s="175">
        <f t="shared" si="1"/>
        <v>375000</v>
      </c>
      <c r="I25" s="271"/>
      <c r="J25" s="244"/>
      <c r="K25" s="244"/>
    </row>
    <row r="26" spans="1:11" s="51" customFormat="1" ht="21.75" customHeight="1">
      <c r="A26" s="147"/>
      <c r="B26" s="165">
        <v>70095</v>
      </c>
      <c r="C26" s="169"/>
      <c r="D26" s="91" t="s">
        <v>6</v>
      </c>
      <c r="E26" s="163">
        <f>SUM(E27:E29)</f>
        <v>52300</v>
      </c>
      <c r="F26" s="163">
        <f>SUM(F27:F29)</f>
        <v>0</v>
      </c>
      <c r="G26" s="163">
        <f>SUM(G27:G29)</f>
        <v>0</v>
      </c>
      <c r="H26" s="163">
        <f>SUM(H27:H29)</f>
        <v>52300</v>
      </c>
      <c r="I26" s="280"/>
      <c r="K26" s="244"/>
    </row>
    <row r="27" spans="1:11" s="51" customFormat="1" ht="21.75" customHeight="1">
      <c r="A27" s="147"/>
      <c r="B27" s="165"/>
      <c r="C27" s="169">
        <v>4260</v>
      </c>
      <c r="D27" s="91" t="s">
        <v>113</v>
      </c>
      <c r="E27" s="163">
        <v>300</v>
      </c>
      <c r="F27" s="168"/>
      <c r="G27" s="168"/>
      <c r="H27" s="175">
        <f t="shared" si="1"/>
        <v>300</v>
      </c>
      <c r="I27" s="271"/>
      <c r="K27" s="244"/>
    </row>
    <row r="28" spans="1:11" s="51" customFormat="1" ht="21.75" customHeight="1">
      <c r="A28" s="147"/>
      <c r="B28" s="165"/>
      <c r="C28" s="169">
        <v>4300</v>
      </c>
      <c r="D28" s="91" t="s">
        <v>97</v>
      </c>
      <c r="E28" s="163">
        <v>2000</v>
      </c>
      <c r="F28" s="168"/>
      <c r="G28" s="168"/>
      <c r="H28" s="175">
        <f t="shared" si="1"/>
        <v>2000</v>
      </c>
      <c r="I28" s="271"/>
      <c r="K28" s="244"/>
    </row>
    <row r="29" spans="1:11" s="51" customFormat="1" ht="21.75" customHeight="1">
      <c r="A29" s="147"/>
      <c r="B29" s="165"/>
      <c r="C29" s="147">
        <v>6050</v>
      </c>
      <c r="D29" s="91" t="s">
        <v>91</v>
      </c>
      <c r="E29" s="163">
        <f>100000-50000</f>
        <v>50000</v>
      </c>
      <c r="F29" s="168"/>
      <c r="G29" s="168"/>
      <c r="H29" s="175">
        <f t="shared" si="1"/>
        <v>50000</v>
      </c>
      <c r="I29" s="271"/>
      <c r="J29" s="244"/>
      <c r="K29" s="244"/>
    </row>
    <row r="30" spans="1:11" s="8" customFormat="1" ht="21.75" customHeight="1">
      <c r="A30" s="86" t="s">
        <v>17</v>
      </c>
      <c r="B30" s="87"/>
      <c r="C30" s="88"/>
      <c r="D30" s="89" t="s">
        <v>98</v>
      </c>
      <c r="E30" s="90">
        <f>SUM(E31,E34)</f>
        <v>221050</v>
      </c>
      <c r="F30" s="90">
        <f>SUM(F31,F34)</f>
        <v>0</v>
      </c>
      <c r="G30" s="90">
        <f>SUM(G31,G34)</f>
        <v>100000</v>
      </c>
      <c r="H30" s="90">
        <f>SUM(H31,H34)</f>
        <v>121050</v>
      </c>
      <c r="I30" s="303"/>
      <c r="K30" s="278"/>
    </row>
    <row r="31" spans="1:11" s="51" customFormat="1" ht="21.75" customHeight="1">
      <c r="A31" s="147"/>
      <c r="B31" s="165" t="s">
        <v>99</v>
      </c>
      <c r="C31" s="169"/>
      <c r="D31" s="91" t="s">
        <v>100</v>
      </c>
      <c r="E31" s="163">
        <f>SUM(E32:E33)</f>
        <v>219200</v>
      </c>
      <c r="F31" s="163">
        <f>SUM(F32:F33)</f>
        <v>0</v>
      </c>
      <c r="G31" s="163">
        <f>SUM(G32:G33)</f>
        <v>100000</v>
      </c>
      <c r="H31" s="163">
        <f>SUM(H32:H33)</f>
        <v>119200</v>
      </c>
      <c r="I31" s="280"/>
      <c r="K31" s="244"/>
    </row>
    <row r="32" spans="1:11" s="51" customFormat="1" ht="21.75" customHeight="1">
      <c r="A32" s="147"/>
      <c r="B32" s="165"/>
      <c r="C32" s="169">
        <v>3030</v>
      </c>
      <c r="D32" s="91" t="s">
        <v>107</v>
      </c>
      <c r="E32" s="163">
        <v>8200</v>
      </c>
      <c r="F32" s="168"/>
      <c r="G32" s="168"/>
      <c r="H32" s="175">
        <f t="shared" si="1"/>
        <v>8200</v>
      </c>
      <c r="I32" s="271"/>
      <c r="K32" s="244"/>
    </row>
    <row r="33" spans="1:11" s="51" customFormat="1" ht="21.75" customHeight="1">
      <c r="A33" s="147"/>
      <c r="B33" s="165"/>
      <c r="C33" s="147">
        <v>4300</v>
      </c>
      <c r="D33" s="91" t="s">
        <v>97</v>
      </c>
      <c r="E33" s="163">
        <f>611000-400000</f>
        <v>211000</v>
      </c>
      <c r="F33" s="168"/>
      <c r="G33" s="168">
        <v>100000</v>
      </c>
      <c r="H33" s="175">
        <f t="shared" si="1"/>
        <v>111000</v>
      </c>
      <c r="I33" s="271"/>
      <c r="K33" s="244"/>
    </row>
    <row r="34" spans="1:11" s="51" customFormat="1" ht="21.75" customHeight="1">
      <c r="A34" s="147"/>
      <c r="B34" s="165">
        <v>71035</v>
      </c>
      <c r="C34" s="147"/>
      <c r="D34" s="91" t="s">
        <v>18</v>
      </c>
      <c r="E34" s="163">
        <f>SUM(E35:E36)</f>
        <v>1850</v>
      </c>
      <c r="F34" s="163">
        <f>SUM(F35:F36)</f>
        <v>0</v>
      </c>
      <c r="G34" s="163">
        <f>SUM(G35:G36)</f>
        <v>0</v>
      </c>
      <c r="H34" s="163">
        <f>SUM(H35:H36)</f>
        <v>1850</v>
      </c>
      <c r="I34" s="280"/>
      <c r="K34" s="244"/>
    </row>
    <row r="35" spans="1:11" s="51" customFormat="1" ht="22.5" customHeight="1">
      <c r="A35" s="147"/>
      <c r="B35" s="165"/>
      <c r="C35" s="147">
        <v>4260</v>
      </c>
      <c r="D35" s="91" t="s">
        <v>113</v>
      </c>
      <c r="E35" s="163">
        <f>350+500</f>
        <v>850</v>
      </c>
      <c r="F35" s="168"/>
      <c r="G35" s="168"/>
      <c r="H35" s="175">
        <f t="shared" si="1"/>
        <v>850</v>
      </c>
      <c r="I35" s="271"/>
      <c r="K35" s="244"/>
    </row>
    <row r="36" spans="1:11" s="51" customFormat="1" ht="29.25" customHeight="1">
      <c r="A36" s="147"/>
      <c r="B36" s="165"/>
      <c r="C36" s="147">
        <v>4300</v>
      </c>
      <c r="D36" s="91" t="s">
        <v>97</v>
      </c>
      <c r="E36" s="163">
        <v>1000</v>
      </c>
      <c r="F36" s="168"/>
      <c r="G36" s="168"/>
      <c r="H36" s="175">
        <f t="shared" si="1"/>
        <v>1000</v>
      </c>
      <c r="I36" s="271"/>
      <c r="K36" s="244"/>
    </row>
    <row r="37" spans="1:11" s="8" customFormat="1" ht="21.75" customHeight="1">
      <c r="A37" s="86" t="s">
        <v>19</v>
      </c>
      <c r="B37" s="87"/>
      <c r="C37" s="88"/>
      <c r="D37" s="89" t="s">
        <v>101</v>
      </c>
      <c r="E37" s="90">
        <f>SUM(E38,E44,E51,E69,)</f>
        <v>4232693</v>
      </c>
      <c r="F37" s="90">
        <f>SUM(F38,F44,F51,F69,)</f>
        <v>214000</v>
      </c>
      <c r="G37" s="90">
        <f>SUM(G38,G44,G51,G69,)</f>
        <v>349000</v>
      </c>
      <c r="H37" s="90">
        <f>SUM(H38,H44,H51,H69,)</f>
        <v>4097693</v>
      </c>
      <c r="I37" s="303"/>
      <c r="K37" s="278"/>
    </row>
    <row r="38" spans="1:11" s="51" customFormat="1" ht="21.75" customHeight="1">
      <c r="A38" s="147"/>
      <c r="B38" s="165">
        <v>75011</v>
      </c>
      <c r="C38" s="169"/>
      <c r="D38" s="91" t="s">
        <v>21</v>
      </c>
      <c r="E38" s="163">
        <f>SUM(E39:E43)</f>
        <v>142600</v>
      </c>
      <c r="F38" s="163">
        <f>SUM(F39:F43)</f>
        <v>0</v>
      </c>
      <c r="G38" s="163">
        <f>SUM(G39:G43)</f>
        <v>0</v>
      </c>
      <c r="H38" s="163">
        <f>SUM(H39:H43)</f>
        <v>142600</v>
      </c>
      <c r="I38" s="280"/>
      <c r="K38" s="244"/>
    </row>
    <row r="39" spans="1:11" s="51" customFormat="1" ht="21.75" customHeight="1">
      <c r="A39" s="147"/>
      <c r="B39" s="170"/>
      <c r="C39" s="147">
        <v>4010</v>
      </c>
      <c r="D39" s="91" t="s">
        <v>102</v>
      </c>
      <c r="E39" s="163">
        <v>102329</v>
      </c>
      <c r="F39" s="168"/>
      <c r="G39" s="168"/>
      <c r="H39" s="175">
        <f t="shared" si="1"/>
        <v>102329</v>
      </c>
      <c r="I39" s="271"/>
      <c r="K39" s="244"/>
    </row>
    <row r="40" spans="1:11" s="51" customFormat="1" ht="21.75" customHeight="1">
      <c r="A40" s="147"/>
      <c r="B40" s="170"/>
      <c r="C40" s="147">
        <v>4040</v>
      </c>
      <c r="D40" s="91" t="s">
        <v>103</v>
      </c>
      <c r="E40" s="163">
        <v>14500</v>
      </c>
      <c r="F40" s="168"/>
      <c r="G40" s="168"/>
      <c r="H40" s="175">
        <f t="shared" si="1"/>
        <v>14500</v>
      </c>
      <c r="I40" s="271"/>
      <c r="K40" s="244"/>
    </row>
    <row r="41" spans="1:11" s="51" customFormat="1" ht="21.75" customHeight="1">
      <c r="A41" s="147"/>
      <c r="B41" s="170"/>
      <c r="C41" s="147">
        <v>4110</v>
      </c>
      <c r="D41" s="91" t="s">
        <v>104</v>
      </c>
      <c r="E41" s="163">
        <v>17766</v>
      </c>
      <c r="F41" s="168"/>
      <c r="G41" s="168"/>
      <c r="H41" s="175">
        <f t="shared" si="1"/>
        <v>17766</v>
      </c>
      <c r="I41" s="271"/>
      <c r="K41" s="244"/>
    </row>
    <row r="42" spans="1:11" s="51" customFormat="1" ht="21.75" customHeight="1">
      <c r="A42" s="147"/>
      <c r="B42" s="170"/>
      <c r="C42" s="147">
        <v>4120</v>
      </c>
      <c r="D42" s="91" t="s">
        <v>105</v>
      </c>
      <c r="E42" s="163">
        <v>2570</v>
      </c>
      <c r="F42" s="168"/>
      <c r="G42" s="168"/>
      <c r="H42" s="175">
        <f t="shared" si="1"/>
        <v>2570</v>
      </c>
      <c r="I42" s="271"/>
      <c r="K42" s="244"/>
    </row>
    <row r="43" spans="1:11" s="51" customFormat="1" ht="21.75" customHeight="1">
      <c r="A43" s="147"/>
      <c r="B43" s="170"/>
      <c r="C43" s="150">
        <v>4440</v>
      </c>
      <c r="D43" s="91" t="s">
        <v>106</v>
      </c>
      <c r="E43" s="163">
        <v>5435</v>
      </c>
      <c r="F43" s="168"/>
      <c r="G43" s="168"/>
      <c r="H43" s="175">
        <f t="shared" si="1"/>
        <v>5435</v>
      </c>
      <c r="I43" s="271"/>
      <c r="K43" s="244"/>
    </row>
    <row r="44" spans="1:11" s="51" customFormat="1" ht="21.75" customHeight="1">
      <c r="A44" s="169"/>
      <c r="B44" s="165" t="s">
        <v>109</v>
      </c>
      <c r="C44" s="169"/>
      <c r="D44" s="91" t="s">
        <v>214</v>
      </c>
      <c r="E44" s="163">
        <f>SUM(E45:E50)</f>
        <v>252522</v>
      </c>
      <c r="F44" s="163">
        <f>SUM(F45:F50)</f>
        <v>0</v>
      </c>
      <c r="G44" s="163">
        <f>SUM(G45:G50)</f>
        <v>30000</v>
      </c>
      <c r="H44" s="163">
        <f>SUM(H45:H50)</f>
        <v>222522</v>
      </c>
      <c r="I44" s="280"/>
      <c r="K44" s="244"/>
    </row>
    <row r="45" spans="1:11" s="51" customFormat="1" ht="21.75" customHeight="1">
      <c r="A45" s="169"/>
      <c r="B45" s="165"/>
      <c r="C45" s="147">
        <v>3030</v>
      </c>
      <c r="D45" s="91" t="s">
        <v>107</v>
      </c>
      <c r="E45" s="163">
        <v>199222</v>
      </c>
      <c r="F45" s="168"/>
      <c r="G45" s="168">
        <v>19000</v>
      </c>
      <c r="H45" s="175">
        <f t="shared" si="1"/>
        <v>180222</v>
      </c>
      <c r="I45" s="271"/>
      <c r="K45" s="244"/>
    </row>
    <row r="46" spans="1:11" s="51" customFormat="1" ht="21.75" customHeight="1">
      <c r="A46" s="169"/>
      <c r="B46" s="165"/>
      <c r="C46" s="147">
        <v>4210</v>
      </c>
      <c r="D46" s="91" t="s">
        <v>110</v>
      </c>
      <c r="E46" s="163">
        <v>22000</v>
      </c>
      <c r="F46" s="168"/>
      <c r="G46" s="168">
        <v>9000</v>
      </c>
      <c r="H46" s="175">
        <f t="shared" si="1"/>
        <v>13000</v>
      </c>
      <c r="I46" s="271"/>
      <c r="K46" s="244"/>
    </row>
    <row r="47" spans="1:11" s="51" customFormat="1" ht="21.75" customHeight="1">
      <c r="A47" s="169"/>
      <c r="B47" s="165"/>
      <c r="C47" s="147">
        <v>4300</v>
      </c>
      <c r="D47" s="91" t="s">
        <v>97</v>
      </c>
      <c r="E47" s="163">
        <v>25800</v>
      </c>
      <c r="F47" s="168"/>
      <c r="G47" s="168"/>
      <c r="H47" s="175">
        <f t="shared" si="1"/>
        <v>25800</v>
      </c>
      <c r="I47" s="271"/>
      <c r="K47" s="244"/>
    </row>
    <row r="48" spans="1:11" s="51" customFormat="1" ht="21.75" customHeight="1">
      <c r="A48" s="169"/>
      <c r="B48" s="165"/>
      <c r="C48" s="147">
        <v>4410</v>
      </c>
      <c r="D48" s="91" t="s">
        <v>108</v>
      </c>
      <c r="E48" s="163">
        <v>3000</v>
      </c>
      <c r="F48" s="168"/>
      <c r="G48" s="168"/>
      <c r="H48" s="175">
        <f t="shared" si="1"/>
        <v>3000</v>
      </c>
      <c r="I48" s="271"/>
      <c r="K48" s="244"/>
    </row>
    <row r="49" spans="1:11" s="51" customFormat="1" ht="21.75" customHeight="1">
      <c r="A49" s="169"/>
      <c r="B49" s="165"/>
      <c r="C49" s="169">
        <v>4420</v>
      </c>
      <c r="D49" s="91" t="s">
        <v>111</v>
      </c>
      <c r="E49" s="163">
        <v>2000</v>
      </c>
      <c r="F49" s="168"/>
      <c r="G49" s="168">
        <v>2000</v>
      </c>
      <c r="H49" s="175">
        <f t="shared" si="1"/>
        <v>0</v>
      </c>
      <c r="I49" s="271"/>
      <c r="K49" s="244"/>
    </row>
    <row r="50" spans="1:11" s="51" customFormat="1" ht="21.75" customHeight="1">
      <c r="A50" s="169"/>
      <c r="B50" s="165"/>
      <c r="C50" s="150">
        <v>4430</v>
      </c>
      <c r="D50" s="91" t="s">
        <v>112</v>
      </c>
      <c r="E50" s="163">
        <v>500</v>
      </c>
      <c r="F50" s="168"/>
      <c r="G50" s="168"/>
      <c r="H50" s="175">
        <f t="shared" si="1"/>
        <v>500</v>
      </c>
      <c r="I50" s="271"/>
      <c r="K50" s="244"/>
    </row>
    <row r="51" spans="1:11" s="51" customFormat="1" ht="21.75" customHeight="1">
      <c r="A51" s="169"/>
      <c r="B51" s="165" t="s">
        <v>23</v>
      </c>
      <c r="C51" s="169"/>
      <c r="D51" s="91" t="s">
        <v>24</v>
      </c>
      <c r="E51" s="163">
        <f>SUM(E52:E68)</f>
        <v>3572397</v>
      </c>
      <c r="F51" s="163">
        <f>SUM(F52:F68)</f>
        <v>214000</v>
      </c>
      <c r="G51" s="163">
        <f>SUM(G52:G68)</f>
        <v>314000</v>
      </c>
      <c r="H51" s="163">
        <f>SUM(H52:H68)</f>
        <v>3472397</v>
      </c>
      <c r="I51" s="280"/>
      <c r="K51" s="244"/>
    </row>
    <row r="52" spans="1:11" s="51" customFormat="1" ht="21.75" customHeight="1">
      <c r="A52" s="169"/>
      <c r="B52" s="165"/>
      <c r="C52" s="147">
        <v>3020</v>
      </c>
      <c r="D52" s="91" t="s">
        <v>311</v>
      </c>
      <c r="E52" s="163">
        <v>25250</v>
      </c>
      <c r="F52" s="168"/>
      <c r="G52" s="168"/>
      <c r="H52" s="175">
        <f t="shared" si="1"/>
        <v>25250</v>
      </c>
      <c r="I52" s="271"/>
      <c r="K52" s="244"/>
    </row>
    <row r="53" spans="1:11" s="51" customFormat="1" ht="21.75" customHeight="1">
      <c r="A53" s="169"/>
      <c r="B53" s="165"/>
      <c r="C53" s="147">
        <v>3030</v>
      </c>
      <c r="D53" s="91" t="s">
        <v>107</v>
      </c>
      <c r="E53" s="163">
        <v>58000</v>
      </c>
      <c r="F53" s="168"/>
      <c r="G53" s="168"/>
      <c r="H53" s="175">
        <f t="shared" si="1"/>
        <v>58000</v>
      </c>
      <c r="I53" s="271"/>
      <c r="K53" s="244"/>
    </row>
    <row r="54" spans="1:11" s="51" customFormat="1" ht="21.75" customHeight="1">
      <c r="A54" s="169"/>
      <c r="B54" s="165"/>
      <c r="C54" s="147">
        <v>4010</v>
      </c>
      <c r="D54" s="91" t="s">
        <v>102</v>
      </c>
      <c r="E54" s="163">
        <v>1964616</v>
      </c>
      <c r="F54" s="168"/>
      <c r="G54" s="168"/>
      <c r="H54" s="175">
        <f t="shared" si="1"/>
        <v>1964616</v>
      </c>
      <c r="I54" s="271"/>
      <c r="K54" s="244"/>
    </row>
    <row r="55" spans="1:11" s="51" customFormat="1" ht="21.75" customHeight="1">
      <c r="A55" s="169"/>
      <c r="B55" s="165"/>
      <c r="C55" s="147">
        <v>4040</v>
      </c>
      <c r="D55" s="91" t="s">
        <v>103</v>
      </c>
      <c r="E55" s="163">
        <v>119700</v>
      </c>
      <c r="F55" s="168"/>
      <c r="G55" s="168"/>
      <c r="H55" s="175">
        <f t="shared" si="1"/>
        <v>119700</v>
      </c>
      <c r="I55" s="271"/>
      <c r="K55" s="244"/>
    </row>
    <row r="56" spans="1:11" s="51" customFormat="1" ht="21.75" customHeight="1">
      <c r="A56" s="169"/>
      <c r="B56" s="165"/>
      <c r="C56" s="147">
        <v>4110</v>
      </c>
      <c r="D56" s="91" t="s">
        <v>104</v>
      </c>
      <c r="E56" s="163">
        <v>362582</v>
      </c>
      <c r="F56" s="168"/>
      <c r="G56" s="168"/>
      <c r="H56" s="175">
        <f t="shared" si="1"/>
        <v>362582</v>
      </c>
      <c r="I56" s="271"/>
      <c r="K56" s="244"/>
    </row>
    <row r="57" spans="1:11" s="51" customFormat="1" ht="21.75" customHeight="1">
      <c r="A57" s="169"/>
      <c r="B57" s="165"/>
      <c r="C57" s="147">
        <v>4120</v>
      </c>
      <c r="D57" s="91" t="s">
        <v>105</v>
      </c>
      <c r="E57" s="163">
        <v>53464</v>
      </c>
      <c r="F57" s="168"/>
      <c r="G57" s="168"/>
      <c r="H57" s="175">
        <f t="shared" si="1"/>
        <v>53464</v>
      </c>
      <c r="I57" s="271"/>
      <c r="K57" s="244"/>
    </row>
    <row r="58" spans="1:11" s="51" customFormat="1" ht="21.75" customHeight="1">
      <c r="A58" s="169"/>
      <c r="B58" s="165"/>
      <c r="C58" s="147">
        <v>4170</v>
      </c>
      <c r="D58" s="91" t="s">
        <v>321</v>
      </c>
      <c r="E58" s="163">
        <v>4000</v>
      </c>
      <c r="F58" s="168"/>
      <c r="G58" s="168"/>
      <c r="H58" s="175">
        <f t="shared" si="1"/>
        <v>4000</v>
      </c>
      <c r="I58" s="271"/>
      <c r="K58" s="244"/>
    </row>
    <row r="59" spans="1:11" s="51" customFormat="1" ht="21.75" customHeight="1">
      <c r="A59" s="169"/>
      <c r="B59" s="165"/>
      <c r="C59" s="147">
        <v>4210</v>
      </c>
      <c r="D59" s="91" t="s">
        <v>110</v>
      </c>
      <c r="E59" s="163">
        <f>1400+140050</f>
        <v>141450</v>
      </c>
      <c r="F59" s="168"/>
      <c r="G59" s="168"/>
      <c r="H59" s="175">
        <f t="shared" si="1"/>
        <v>141450</v>
      </c>
      <c r="I59" s="271"/>
      <c r="K59" s="244"/>
    </row>
    <row r="60" spans="1:11" s="51" customFormat="1" ht="21.75" customHeight="1">
      <c r="A60" s="169"/>
      <c r="B60" s="165"/>
      <c r="C60" s="147">
        <v>4260</v>
      </c>
      <c r="D60" s="91" t="s">
        <v>113</v>
      </c>
      <c r="E60" s="163">
        <v>74500</v>
      </c>
      <c r="F60" s="168"/>
      <c r="G60" s="168"/>
      <c r="H60" s="175">
        <f t="shared" si="1"/>
        <v>74500</v>
      </c>
      <c r="I60" s="271"/>
      <c r="K60" s="244"/>
    </row>
    <row r="61" spans="1:11" s="51" customFormat="1" ht="21.75" customHeight="1">
      <c r="A61" s="169"/>
      <c r="B61" s="165"/>
      <c r="C61" s="147">
        <v>4270</v>
      </c>
      <c r="D61" s="91" t="s">
        <v>96</v>
      </c>
      <c r="E61" s="163">
        <v>31000</v>
      </c>
      <c r="F61" s="168">
        <v>214000</v>
      </c>
      <c r="G61" s="168">
        <v>100000</v>
      </c>
      <c r="H61" s="175">
        <f t="shared" si="1"/>
        <v>145000</v>
      </c>
      <c r="I61" s="271"/>
      <c r="K61" s="244"/>
    </row>
    <row r="62" spans="1:11" s="51" customFormat="1" ht="27" customHeight="1">
      <c r="A62" s="169"/>
      <c r="B62" s="165"/>
      <c r="C62" s="147">
        <v>4300</v>
      </c>
      <c r="D62" s="91" t="s">
        <v>97</v>
      </c>
      <c r="E62" s="163">
        <f>8454+318806</f>
        <v>327260</v>
      </c>
      <c r="F62" s="168"/>
      <c r="G62" s="168"/>
      <c r="H62" s="175">
        <f t="shared" si="1"/>
        <v>327260</v>
      </c>
      <c r="I62" s="271"/>
      <c r="K62" s="244"/>
    </row>
    <row r="63" spans="1:11" s="51" customFormat="1" ht="27.75" customHeight="1">
      <c r="A63" s="169"/>
      <c r="B63" s="165"/>
      <c r="C63" s="147">
        <v>4410</v>
      </c>
      <c r="D63" s="91" t="s">
        <v>108</v>
      </c>
      <c r="E63" s="163">
        <v>42600</v>
      </c>
      <c r="F63" s="168"/>
      <c r="G63" s="168"/>
      <c r="H63" s="175">
        <f t="shared" si="1"/>
        <v>42600</v>
      </c>
      <c r="I63" s="271"/>
      <c r="K63" s="244"/>
    </row>
    <row r="64" spans="1:11" s="51" customFormat="1" ht="26.25" customHeight="1">
      <c r="A64" s="169"/>
      <c r="B64" s="165"/>
      <c r="C64" s="169">
        <v>4420</v>
      </c>
      <c r="D64" s="91" t="s">
        <v>111</v>
      </c>
      <c r="E64" s="163">
        <v>3000</v>
      </c>
      <c r="F64" s="168"/>
      <c r="G64" s="168"/>
      <c r="H64" s="175">
        <f t="shared" si="1"/>
        <v>3000</v>
      </c>
      <c r="I64" s="271"/>
      <c r="K64" s="244"/>
    </row>
    <row r="65" spans="1:11" s="51" customFormat="1" ht="26.25" customHeight="1">
      <c r="A65" s="169"/>
      <c r="B65" s="165"/>
      <c r="C65" s="150">
        <v>4430</v>
      </c>
      <c r="D65" s="91" t="s">
        <v>112</v>
      </c>
      <c r="E65" s="163">
        <v>41992</v>
      </c>
      <c r="F65" s="168"/>
      <c r="G65" s="168"/>
      <c r="H65" s="175">
        <f t="shared" si="1"/>
        <v>41992</v>
      </c>
      <c r="I65" s="271"/>
      <c r="K65" s="244"/>
    </row>
    <row r="66" spans="1:11" s="51" customFormat="1" ht="21.75" customHeight="1">
      <c r="A66" s="169"/>
      <c r="B66" s="165"/>
      <c r="C66" s="150">
        <v>4440</v>
      </c>
      <c r="D66" s="91" t="s">
        <v>106</v>
      </c>
      <c r="E66" s="163">
        <v>55733</v>
      </c>
      <c r="F66" s="168"/>
      <c r="G66" s="168"/>
      <c r="H66" s="175">
        <f t="shared" si="1"/>
        <v>55733</v>
      </c>
      <c r="I66" s="271"/>
      <c r="K66" s="244"/>
    </row>
    <row r="67" spans="1:11" s="51" customFormat="1" ht="21.75" customHeight="1" hidden="1">
      <c r="A67" s="169"/>
      <c r="B67" s="165"/>
      <c r="C67" s="169">
        <v>6050</v>
      </c>
      <c r="D67" s="91" t="s">
        <v>114</v>
      </c>
      <c r="E67" s="163">
        <v>214000</v>
      </c>
      <c r="F67" s="168"/>
      <c r="G67" s="168">
        <v>214000</v>
      </c>
      <c r="H67" s="175">
        <f t="shared" si="1"/>
        <v>0</v>
      </c>
      <c r="I67" s="271"/>
      <c r="J67" s="244"/>
      <c r="K67" s="244"/>
    </row>
    <row r="68" spans="1:11" s="51" customFormat="1" ht="27" customHeight="1">
      <c r="A68" s="169"/>
      <c r="B68" s="165"/>
      <c r="C68" s="169">
        <v>6060</v>
      </c>
      <c r="D68" s="91" t="s">
        <v>115</v>
      </c>
      <c r="E68" s="163">
        <v>53250</v>
      </c>
      <c r="F68" s="168"/>
      <c r="G68" s="168"/>
      <c r="H68" s="175">
        <f t="shared" si="1"/>
        <v>53250</v>
      </c>
      <c r="I68" s="271"/>
      <c r="J68" s="244"/>
      <c r="K68" s="244"/>
    </row>
    <row r="69" spans="1:11" s="51" customFormat="1" ht="26.25" customHeight="1">
      <c r="A69" s="169"/>
      <c r="B69" s="165" t="s">
        <v>116</v>
      </c>
      <c r="C69" s="169"/>
      <c r="D69" s="91" t="s">
        <v>6</v>
      </c>
      <c r="E69" s="163">
        <f>SUM(E70:E73)</f>
        <v>265174</v>
      </c>
      <c r="F69" s="163">
        <f>SUM(F70:F73)</f>
        <v>0</v>
      </c>
      <c r="G69" s="163">
        <f>SUM(G70:G73)</f>
        <v>5000</v>
      </c>
      <c r="H69" s="163">
        <f>SUM(H70:H73)</f>
        <v>260174</v>
      </c>
      <c r="I69" s="280"/>
      <c r="K69" s="244"/>
    </row>
    <row r="70" spans="1:11" s="51" customFormat="1" ht="21.75" customHeight="1">
      <c r="A70" s="169"/>
      <c r="B70" s="170"/>
      <c r="C70" s="169">
        <v>3020</v>
      </c>
      <c r="D70" s="91" t="s">
        <v>311</v>
      </c>
      <c r="E70" s="163">
        <v>9600</v>
      </c>
      <c r="F70" s="168"/>
      <c r="G70" s="168"/>
      <c r="H70" s="175">
        <f t="shared" si="1"/>
        <v>9600</v>
      </c>
      <c r="I70" s="271"/>
      <c r="K70" s="244"/>
    </row>
    <row r="71" spans="1:11" s="51" customFormat="1" ht="21.75" customHeight="1">
      <c r="A71" s="169"/>
      <c r="B71" s="170"/>
      <c r="C71" s="169">
        <v>4210</v>
      </c>
      <c r="D71" s="91" t="s">
        <v>110</v>
      </c>
      <c r="E71" s="163">
        <f>22738+50136</f>
        <v>72874</v>
      </c>
      <c r="F71" s="168"/>
      <c r="G71" s="168"/>
      <c r="H71" s="175">
        <f t="shared" si="1"/>
        <v>72874</v>
      </c>
      <c r="I71" s="271"/>
      <c r="K71" s="244"/>
    </row>
    <row r="72" spans="1:11" s="51" customFormat="1" ht="21.75" customHeight="1">
      <c r="A72" s="169"/>
      <c r="B72" s="170"/>
      <c r="C72" s="147">
        <v>4300</v>
      </c>
      <c r="D72" s="91" t="s">
        <v>97</v>
      </c>
      <c r="E72" s="163">
        <f>2300+147200+30000</f>
        <v>179500</v>
      </c>
      <c r="F72" s="168"/>
      <c r="G72" s="168">
        <v>5000</v>
      </c>
      <c r="H72" s="175">
        <f t="shared" si="1"/>
        <v>174500</v>
      </c>
      <c r="I72" s="271"/>
      <c r="K72" s="244"/>
    </row>
    <row r="73" spans="1:11" s="51" customFormat="1" ht="21.75" customHeight="1">
      <c r="A73" s="169"/>
      <c r="B73" s="170"/>
      <c r="C73" s="147">
        <v>4350</v>
      </c>
      <c r="D73" s="91" t="s">
        <v>322</v>
      </c>
      <c r="E73" s="163">
        <v>3200</v>
      </c>
      <c r="F73" s="168"/>
      <c r="G73" s="168"/>
      <c r="H73" s="175">
        <f t="shared" si="1"/>
        <v>3200</v>
      </c>
      <c r="I73" s="271"/>
      <c r="K73" s="244"/>
    </row>
    <row r="74" spans="1:11" s="8" customFormat="1" ht="44.25" customHeight="1">
      <c r="A74" s="86">
        <v>751</v>
      </c>
      <c r="B74" s="87"/>
      <c r="C74" s="88"/>
      <c r="D74" s="89" t="s">
        <v>118</v>
      </c>
      <c r="E74" s="90">
        <f>SUM(E75)</f>
        <v>3737</v>
      </c>
      <c r="F74" s="90">
        <f>SUM(F75)</f>
        <v>0</v>
      </c>
      <c r="G74" s="90">
        <f>SUM(G75)</f>
        <v>0</v>
      </c>
      <c r="H74" s="90">
        <f>SUM(H75)</f>
        <v>3737</v>
      </c>
      <c r="I74" s="303"/>
      <c r="K74" s="278"/>
    </row>
    <row r="75" spans="1:11" s="51" customFormat="1" ht="21.75" customHeight="1">
      <c r="A75" s="169"/>
      <c r="B75" s="165">
        <v>75101</v>
      </c>
      <c r="C75" s="169"/>
      <c r="D75" s="91" t="s">
        <v>26</v>
      </c>
      <c r="E75" s="163">
        <f>SUM(E76:E77)</f>
        <v>3737</v>
      </c>
      <c r="F75" s="163">
        <f>SUM(F76:F77)</f>
        <v>0</v>
      </c>
      <c r="G75" s="163">
        <f>SUM(G76:G77)</f>
        <v>0</v>
      </c>
      <c r="H75" s="163">
        <f>SUM(H76:H77)</f>
        <v>3737</v>
      </c>
      <c r="I75" s="280"/>
      <c r="K75" s="244"/>
    </row>
    <row r="76" spans="1:11" s="51" customFormat="1" ht="21.75" customHeight="1">
      <c r="A76" s="169"/>
      <c r="B76" s="165"/>
      <c r="C76" s="147">
        <v>4210</v>
      </c>
      <c r="D76" s="91" t="s">
        <v>110</v>
      </c>
      <c r="E76" s="163">
        <v>2000</v>
      </c>
      <c r="F76" s="168"/>
      <c r="G76" s="168"/>
      <c r="H76" s="175">
        <f t="shared" si="1"/>
        <v>2000</v>
      </c>
      <c r="I76" s="271"/>
      <c r="K76" s="244"/>
    </row>
    <row r="77" spans="1:11" s="51" customFormat="1" ht="21.75" customHeight="1">
      <c r="A77" s="169"/>
      <c r="B77" s="165"/>
      <c r="C77" s="147">
        <v>4300</v>
      </c>
      <c r="D77" s="91" t="s">
        <v>97</v>
      </c>
      <c r="E77" s="163">
        <v>1737</v>
      </c>
      <c r="F77" s="168"/>
      <c r="G77" s="168"/>
      <c r="H77" s="175">
        <f t="shared" si="1"/>
        <v>1737</v>
      </c>
      <c r="I77" s="271"/>
      <c r="K77" s="244"/>
    </row>
    <row r="78" spans="1:11" s="8" customFormat="1" ht="36">
      <c r="A78" s="86" t="s">
        <v>27</v>
      </c>
      <c r="B78" s="87"/>
      <c r="C78" s="88"/>
      <c r="D78" s="89" t="s">
        <v>119</v>
      </c>
      <c r="E78" s="90">
        <f>SUM(E79,E89,E91,E103,)</f>
        <v>276567</v>
      </c>
      <c r="F78" s="90">
        <f>SUM(F79,F89,F91,F103,)</f>
        <v>96150</v>
      </c>
      <c r="G78" s="90">
        <f>SUM(G79,G89,G91,G103,)</f>
        <v>116150</v>
      </c>
      <c r="H78" s="90">
        <f>SUM(H79,H89,H91,H103,)</f>
        <v>256567</v>
      </c>
      <c r="I78" s="303"/>
      <c r="K78" s="278"/>
    </row>
    <row r="79" spans="1:11" s="51" customFormat="1" ht="21.75" customHeight="1">
      <c r="A79" s="169"/>
      <c r="B79" s="165" t="s">
        <v>120</v>
      </c>
      <c r="C79" s="169"/>
      <c r="D79" s="91" t="s">
        <v>121</v>
      </c>
      <c r="E79" s="163">
        <f>SUM(E80:E88)</f>
        <v>107800</v>
      </c>
      <c r="F79" s="163">
        <f>SUM(F80:F88)</f>
        <v>96150</v>
      </c>
      <c r="G79" s="163">
        <f>SUM(G80:G88)</f>
        <v>96150</v>
      </c>
      <c r="H79" s="163">
        <f>SUM(H80:H88)</f>
        <v>107800</v>
      </c>
      <c r="I79" s="280"/>
      <c r="K79" s="244"/>
    </row>
    <row r="80" spans="1:11" s="51" customFormat="1" ht="12">
      <c r="A80" s="169"/>
      <c r="B80" s="165"/>
      <c r="C80" s="169">
        <v>3020</v>
      </c>
      <c r="D80" s="91" t="s">
        <v>311</v>
      </c>
      <c r="E80" s="163">
        <v>0</v>
      </c>
      <c r="F80" s="163">
        <v>18200</v>
      </c>
      <c r="G80" s="163"/>
      <c r="H80" s="163">
        <f>SUM(E80+F80-G80)</f>
        <v>18200</v>
      </c>
      <c r="I80" s="280"/>
      <c r="K80" s="244"/>
    </row>
    <row r="81" spans="1:11" s="51" customFormat="1" ht="21.75" customHeight="1">
      <c r="A81" s="169"/>
      <c r="B81" s="165"/>
      <c r="C81" s="169">
        <v>4110</v>
      </c>
      <c r="D81" s="91" t="s">
        <v>104</v>
      </c>
      <c r="E81" s="163">
        <v>0</v>
      </c>
      <c r="F81" s="163">
        <v>3800</v>
      </c>
      <c r="G81" s="163"/>
      <c r="H81" s="163">
        <f aca="true" t="shared" si="2" ref="H81:H88">SUM(E81+F81-G81)</f>
        <v>3800</v>
      </c>
      <c r="I81" s="280"/>
      <c r="K81" s="244"/>
    </row>
    <row r="82" spans="1:11" s="51" customFormat="1" ht="21.75" customHeight="1">
      <c r="A82" s="169"/>
      <c r="B82" s="165"/>
      <c r="C82" s="147">
        <v>4170</v>
      </c>
      <c r="D82" s="91" t="s">
        <v>321</v>
      </c>
      <c r="E82" s="163">
        <v>3900</v>
      </c>
      <c r="F82" s="292">
        <v>18200</v>
      </c>
      <c r="G82" s="292"/>
      <c r="H82" s="163">
        <f t="shared" si="2"/>
        <v>22100</v>
      </c>
      <c r="I82" s="280"/>
      <c r="K82" s="244"/>
    </row>
    <row r="83" spans="1:11" s="51" customFormat="1" ht="21.75" customHeight="1">
      <c r="A83" s="169"/>
      <c r="B83" s="165"/>
      <c r="C83" s="147">
        <v>4210</v>
      </c>
      <c r="D83" s="91" t="s">
        <v>110</v>
      </c>
      <c r="E83" s="163">
        <f>2000+2000</f>
        <v>4000</v>
      </c>
      <c r="F83" s="292">
        <v>23600</v>
      </c>
      <c r="G83" s="292"/>
      <c r="H83" s="163">
        <f t="shared" si="2"/>
        <v>27600</v>
      </c>
      <c r="I83" s="280"/>
      <c r="K83" s="244"/>
    </row>
    <row r="84" spans="1:11" s="51" customFormat="1" ht="21.75" customHeight="1">
      <c r="A84" s="169"/>
      <c r="B84" s="165"/>
      <c r="C84" s="147">
        <v>4260</v>
      </c>
      <c r="D84" s="91" t="s">
        <v>113</v>
      </c>
      <c r="E84" s="163">
        <v>0</v>
      </c>
      <c r="F84" s="292">
        <v>6400</v>
      </c>
      <c r="G84" s="292"/>
      <c r="H84" s="163">
        <f t="shared" si="2"/>
        <v>6400</v>
      </c>
      <c r="I84" s="280"/>
      <c r="K84" s="244"/>
    </row>
    <row r="85" spans="1:11" s="51" customFormat="1" ht="21.75" customHeight="1">
      <c r="A85" s="169"/>
      <c r="B85" s="165"/>
      <c r="C85" s="147">
        <v>4270</v>
      </c>
      <c r="D85" s="91" t="s">
        <v>96</v>
      </c>
      <c r="E85" s="163">
        <v>0</v>
      </c>
      <c r="F85" s="292">
        <v>13500</v>
      </c>
      <c r="G85" s="292"/>
      <c r="H85" s="163">
        <f t="shared" si="2"/>
        <v>13500</v>
      </c>
      <c r="I85" s="280"/>
      <c r="K85" s="244"/>
    </row>
    <row r="86" spans="1:11" s="51" customFormat="1" ht="21.75" customHeight="1">
      <c r="A86" s="169"/>
      <c r="B86" s="165"/>
      <c r="C86" s="147">
        <v>4300</v>
      </c>
      <c r="D86" s="91" t="s">
        <v>97</v>
      </c>
      <c r="E86" s="163">
        <f>96150</f>
        <v>96150</v>
      </c>
      <c r="F86" s="292">
        <v>6450</v>
      </c>
      <c r="G86" s="292">
        <v>96150</v>
      </c>
      <c r="H86" s="163">
        <f t="shared" si="2"/>
        <v>6450</v>
      </c>
      <c r="I86" s="280"/>
      <c r="K86" s="244"/>
    </row>
    <row r="87" spans="1:11" s="51" customFormat="1" ht="21.75" customHeight="1">
      <c r="A87" s="169"/>
      <c r="B87" s="165"/>
      <c r="C87" s="147">
        <v>4410</v>
      </c>
      <c r="D87" s="91" t="s">
        <v>108</v>
      </c>
      <c r="E87" s="163">
        <v>3750</v>
      </c>
      <c r="F87" s="292"/>
      <c r="G87" s="292"/>
      <c r="H87" s="163">
        <f t="shared" si="2"/>
        <v>3750</v>
      </c>
      <c r="I87" s="280"/>
      <c r="K87" s="244"/>
    </row>
    <row r="88" spans="1:11" s="51" customFormat="1" ht="21.75" customHeight="1">
      <c r="A88" s="169"/>
      <c r="B88" s="165"/>
      <c r="C88" s="147">
        <v>4430</v>
      </c>
      <c r="D88" s="91" t="s">
        <v>112</v>
      </c>
      <c r="E88" s="163">
        <v>0</v>
      </c>
      <c r="F88" s="292">
        <v>6000</v>
      </c>
      <c r="G88" s="292"/>
      <c r="H88" s="163">
        <f t="shared" si="2"/>
        <v>6000</v>
      </c>
      <c r="I88" s="280"/>
      <c r="K88" s="244"/>
    </row>
    <row r="89" spans="1:11" s="51" customFormat="1" ht="21.75" customHeight="1">
      <c r="A89" s="169"/>
      <c r="B89" s="165" t="s">
        <v>29</v>
      </c>
      <c r="C89" s="169"/>
      <c r="D89" s="91" t="s">
        <v>122</v>
      </c>
      <c r="E89" s="163">
        <f>SUM(E90:E90)</f>
        <v>1400</v>
      </c>
      <c r="F89" s="163">
        <f>SUM(F90:F90)</f>
        <v>0</v>
      </c>
      <c r="G89" s="163">
        <f>SUM(G90:G90)</f>
        <v>0</v>
      </c>
      <c r="H89" s="163">
        <f>SUM(H90:H90)</f>
        <v>1400</v>
      </c>
      <c r="I89" s="280"/>
      <c r="K89" s="244"/>
    </row>
    <row r="90" spans="1:11" s="51" customFormat="1" ht="21.75" customHeight="1">
      <c r="A90" s="169"/>
      <c r="B90" s="165"/>
      <c r="C90" s="147">
        <v>4210</v>
      </c>
      <c r="D90" s="91" t="s">
        <v>110</v>
      </c>
      <c r="E90" s="163">
        <v>1400</v>
      </c>
      <c r="F90" s="168"/>
      <c r="G90" s="168"/>
      <c r="H90" s="175">
        <f aca="true" t="shared" si="3" ref="H90:H151">SUM(E90+F90-G90)</f>
        <v>1400</v>
      </c>
      <c r="I90" s="271"/>
      <c r="K90" s="244"/>
    </row>
    <row r="91" spans="1:11" s="51" customFormat="1" ht="21.75" customHeight="1">
      <c r="A91" s="169"/>
      <c r="B91" s="165">
        <v>75416</v>
      </c>
      <c r="C91" s="169"/>
      <c r="D91" s="91" t="s">
        <v>32</v>
      </c>
      <c r="E91" s="163">
        <f>SUM(E92:E102)</f>
        <v>162367</v>
      </c>
      <c r="F91" s="163">
        <f>SUM(F92:F102)</f>
        <v>0</v>
      </c>
      <c r="G91" s="163">
        <f>SUM(G92:G102)</f>
        <v>20000</v>
      </c>
      <c r="H91" s="163">
        <f>SUM(H92:H102)</f>
        <v>142367</v>
      </c>
      <c r="I91" s="280"/>
      <c r="K91" s="244"/>
    </row>
    <row r="92" spans="1:11" s="51" customFormat="1" ht="21.75" customHeight="1">
      <c r="A92" s="169"/>
      <c r="B92" s="165"/>
      <c r="C92" s="147">
        <v>3020</v>
      </c>
      <c r="D92" s="91" t="s">
        <v>311</v>
      </c>
      <c r="E92" s="163">
        <v>8000</v>
      </c>
      <c r="F92" s="168"/>
      <c r="G92" s="168"/>
      <c r="H92" s="175">
        <f t="shared" si="3"/>
        <v>8000</v>
      </c>
      <c r="I92" s="271"/>
      <c r="K92" s="244"/>
    </row>
    <row r="93" spans="1:11" s="51" customFormat="1" ht="21.75" customHeight="1">
      <c r="A93" s="169"/>
      <c r="B93" s="165"/>
      <c r="C93" s="147">
        <v>4010</v>
      </c>
      <c r="D93" s="91" t="s">
        <v>102</v>
      </c>
      <c r="E93" s="163">
        <v>94927</v>
      </c>
      <c r="F93" s="168"/>
      <c r="G93" s="168">
        <v>18000</v>
      </c>
      <c r="H93" s="175">
        <f t="shared" si="3"/>
        <v>76927</v>
      </c>
      <c r="I93" s="271"/>
      <c r="K93" s="244"/>
    </row>
    <row r="94" spans="1:11" s="51" customFormat="1" ht="21.75" customHeight="1">
      <c r="A94" s="169"/>
      <c r="B94" s="165"/>
      <c r="C94" s="147">
        <v>4040</v>
      </c>
      <c r="D94" s="91" t="s">
        <v>103</v>
      </c>
      <c r="E94" s="163">
        <v>5500</v>
      </c>
      <c r="F94" s="168"/>
      <c r="G94" s="168"/>
      <c r="H94" s="175">
        <f t="shared" si="3"/>
        <v>5500</v>
      </c>
      <c r="I94" s="271"/>
      <c r="K94" s="244"/>
    </row>
    <row r="95" spans="1:11" s="51" customFormat="1" ht="21.75" customHeight="1">
      <c r="A95" s="169"/>
      <c r="B95" s="165"/>
      <c r="C95" s="147">
        <v>4110</v>
      </c>
      <c r="D95" s="91" t="s">
        <v>104</v>
      </c>
      <c r="E95" s="163">
        <v>17304</v>
      </c>
      <c r="F95" s="168"/>
      <c r="G95" s="168">
        <v>2000</v>
      </c>
      <c r="H95" s="175">
        <f t="shared" si="3"/>
        <v>15304</v>
      </c>
      <c r="I95" s="271"/>
      <c r="K95" s="244"/>
    </row>
    <row r="96" spans="1:11" s="51" customFormat="1" ht="21.75" customHeight="1">
      <c r="A96" s="169"/>
      <c r="B96" s="165"/>
      <c r="C96" s="147">
        <v>4120</v>
      </c>
      <c r="D96" s="91" t="s">
        <v>105</v>
      </c>
      <c r="E96" s="163">
        <v>2461</v>
      </c>
      <c r="F96" s="168"/>
      <c r="G96" s="168"/>
      <c r="H96" s="175">
        <f t="shared" si="3"/>
        <v>2461</v>
      </c>
      <c r="I96" s="271"/>
      <c r="K96" s="244"/>
    </row>
    <row r="97" spans="1:11" s="51" customFormat="1" ht="21.75" customHeight="1">
      <c r="A97" s="169"/>
      <c r="B97" s="165"/>
      <c r="C97" s="147">
        <v>4210</v>
      </c>
      <c r="D97" s="91" t="s">
        <v>110</v>
      </c>
      <c r="E97" s="163">
        <v>11600</v>
      </c>
      <c r="F97" s="168"/>
      <c r="G97" s="168"/>
      <c r="H97" s="175">
        <f t="shared" si="3"/>
        <v>11600</v>
      </c>
      <c r="I97" s="271"/>
      <c r="K97" s="244"/>
    </row>
    <row r="98" spans="1:11" s="51" customFormat="1" ht="25.5" customHeight="1">
      <c r="A98" s="169"/>
      <c r="B98" s="165"/>
      <c r="C98" s="147">
        <v>4270</v>
      </c>
      <c r="D98" s="91" t="s">
        <v>96</v>
      </c>
      <c r="E98" s="163">
        <v>4000</v>
      </c>
      <c r="F98" s="168"/>
      <c r="G98" s="168"/>
      <c r="H98" s="175">
        <f t="shared" si="3"/>
        <v>4000</v>
      </c>
      <c r="I98" s="271"/>
      <c r="K98" s="244"/>
    </row>
    <row r="99" spans="1:11" s="51" customFormat="1" ht="21.75" customHeight="1">
      <c r="A99" s="169"/>
      <c r="B99" s="165"/>
      <c r="C99" s="147">
        <v>4300</v>
      </c>
      <c r="D99" s="91" t="s">
        <v>97</v>
      </c>
      <c r="E99" s="163">
        <v>11800</v>
      </c>
      <c r="F99" s="168"/>
      <c r="G99" s="168"/>
      <c r="H99" s="175">
        <f t="shared" si="3"/>
        <v>11800</v>
      </c>
      <c r="I99" s="271"/>
      <c r="K99" s="244"/>
    </row>
    <row r="100" spans="1:11" s="51" customFormat="1" ht="26.25" customHeight="1">
      <c r="A100" s="169"/>
      <c r="B100" s="165"/>
      <c r="C100" s="147">
        <v>4410</v>
      </c>
      <c r="D100" s="91" t="s">
        <v>108</v>
      </c>
      <c r="E100" s="163">
        <v>500</v>
      </c>
      <c r="F100" s="168"/>
      <c r="G100" s="168"/>
      <c r="H100" s="175">
        <f t="shared" si="3"/>
        <v>500</v>
      </c>
      <c r="I100" s="271"/>
      <c r="K100" s="244"/>
    </row>
    <row r="101" spans="1:11" s="51" customFormat="1" ht="21.75" customHeight="1">
      <c r="A101" s="169"/>
      <c r="B101" s="165"/>
      <c r="C101" s="150">
        <v>4430</v>
      </c>
      <c r="D101" s="91" t="s">
        <v>112</v>
      </c>
      <c r="E101" s="163">
        <v>3500</v>
      </c>
      <c r="F101" s="168"/>
      <c r="G101" s="168"/>
      <c r="H101" s="175">
        <f t="shared" si="3"/>
        <v>3500</v>
      </c>
      <c r="I101" s="271"/>
      <c r="K101" s="244"/>
    </row>
    <row r="102" spans="1:11" s="51" customFormat="1" ht="21.75" customHeight="1">
      <c r="A102" s="169"/>
      <c r="B102" s="165"/>
      <c r="C102" s="150">
        <v>4440</v>
      </c>
      <c r="D102" s="91" t="s">
        <v>106</v>
      </c>
      <c r="E102" s="163">
        <v>2775</v>
      </c>
      <c r="F102" s="168"/>
      <c r="G102" s="168"/>
      <c r="H102" s="175">
        <f t="shared" si="3"/>
        <v>2775</v>
      </c>
      <c r="I102" s="271"/>
      <c r="K102" s="244"/>
    </row>
    <row r="103" spans="1:11" s="51" customFormat="1" ht="21.75" customHeight="1">
      <c r="A103" s="169"/>
      <c r="B103" s="165" t="s">
        <v>123</v>
      </c>
      <c r="C103" s="169"/>
      <c r="D103" s="91" t="s">
        <v>6</v>
      </c>
      <c r="E103" s="163">
        <f>SUM(E104)</f>
        <v>5000</v>
      </c>
      <c r="F103" s="163">
        <f>SUM(F104)</f>
        <v>0</v>
      </c>
      <c r="G103" s="163">
        <f>SUM(G104)</f>
        <v>0</v>
      </c>
      <c r="H103" s="163">
        <f>SUM(H104)</f>
        <v>5000</v>
      </c>
      <c r="I103" s="280"/>
      <c r="K103" s="244"/>
    </row>
    <row r="104" spans="1:11" s="51" customFormat="1" ht="21.75" customHeight="1">
      <c r="A104" s="169"/>
      <c r="B104" s="165"/>
      <c r="C104" s="150">
        <v>4430</v>
      </c>
      <c r="D104" s="91" t="s">
        <v>112</v>
      </c>
      <c r="E104" s="163">
        <v>5000</v>
      </c>
      <c r="F104" s="168"/>
      <c r="G104" s="168"/>
      <c r="H104" s="175">
        <f t="shared" si="3"/>
        <v>5000</v>
      </c>
      <c r="I104" s="271"/>
      <c r="K104" s="244"/>
    </row>
    <row r="105" spans="1:11" s="95" customFormat="1" ht="54" customHeight="1">
      <c r="A105" s="88">
        <v>756</v>
      </c>
      <c r="B105" s="139"/>
      <c r="C105" s="138"/>
      <c r="D105" s="89" t="s">
        <v>223</v>
      </c>
      <c r="E105" s="90">
        <f>SUM(E106)</f>
        <v>70000</v>
      </c>
      <c r="F105" s="90">
        <f>SUM(F106)</f>
        <v>0</v>
      </c>
      <c r="G105" s="90">
        <f>SUM(G106)</f>
        <v>0</v>
      </c>
      <c r="H105" s="90">
        <f>SUM(H106)</f>
        <v>70000</v>
      </c>
      <c r="I105" s="303"/>
      <c r="K105" s="92"/>
    </row>
    <row r="106" spans="1:11" s="51" customFormat="1" ht="21.75" customHeight="1">
      <c r="A106" s="169"/>
      <c r="B106" s="165">
        <v>75647</v>
      </c>
      <c r="C106" s="150"/>
      <c r="D106" s="91" t="s">
        <v>259</v>
      </c>
      <c r="E106" s="163">
        <f>SUM(E107:E111)</f>
        <v>70000</v>
      </c>
      <c r="F106" s="163">
        <f>SUM(F107:F111)</f>
        <v>0</v>
      </c>
      <c r="G106" s="163">
        <f>SUM(G107:G111)</f>
        <v>0</v>
      </c>
      <c r="H106" s="163">
        <f>SUM(H107:H111)</f>
        <v>70000</v>
      </c>
      <c r="I106" s="280"/>
      <c r="K106" s="244"/>
    </row>
    <row r="107" spans="1:11" s="51" customFormat="1" ht="21.75" customHeight="1">
      <c r="A107" s="169"/>
      <c r="B107" s="165"/>
      <c r="C107" s="150">
        <v>4100</v>
      </c>
      <c r="D107" s="91" t="s">
        <v>117</v>
      </c>
      <c r="E107" s="163">
        <v>30000</v>
      </c>
      <c r="F107" s="168"/>
      <c r="G107" s="168"/>
      <c r="H107" s="175">
        <f t="shared" si="3"/>
        <v>30000</v>
      </c>
      <c r="I107" s="271"/>
      <c r="K107" s="244"/>
    </row>
    <row r="108" spans="1:11" s="51" customFormat="1" ht="21.75" customHeight="1">
      <c r="A108" s="169"/>
      <c r="B108" s="165"/>
      <c r="C108" s="150">
        <v>4210</v>
      </c>
      <c r="D108" s="91" t="s">
        <v>90</v>
      </c>
      <c r="E108" s="163">
        <v>4500</v>
      </c>
      <c r="F108" s="168"/>
      <c r="G108" s="168"/>
      <c r="H108" s="175">
        <f t="shared" si="3"/>
        <v>4500</v>
      </c>
      <c r="I108" s="271"/>
      <c r="K108" s="244"/>
    </row>
    <row r="109" spans="1:11" s="51" customFormat="1" ht="21.75" customHeight="1">
      <c r="A109" s="169"/>
      <c r="B109" s="165"/>
      <c r="C109" s="150">
        <v>4610</v>
      </c>
      <c r="D109" s="91" t="s">
        <v>263</v>
      </c>
      <c r="E109" s="163">
        <v>10000</v>
      </c>
      <c r="F109" s="168"/>
      <c r="G109" s="168"/>
      <c r="H109" s="175">
        <f t="shared" si="3"/>
        <v>10000</v>
      </c>
      <c r="I109" s="271"/>
      <c r="K109" s="244"/>
    </row>
    <row r="110" spans="1:11" s="51" customFormat="1" ht="21.75" customHeight="1">
      <c r="A110" s="169"/>
      <c r="B110" s="165"/>
      <c r="C110" s="150">
        <v>4300</v>
      </c>
      <c r="D110" s="91" t="s">
        <v>97</v>
      </c>
      <c r="E110" s="163">
        <f>15000+10000</f>
        <v>25000</v>
      </c>
      <c r="F110" s="168"/>
      <c r="G110" s="168"/>
      <c r="H110" s="175">
        <f t="shared" si="3"/>
        <v>25000</v>
      </c>
      <c r="I110" s="271"/>
      <c r="K110" s="244"/>
    </row>
    <row r="111" spans="1:11" s="51" customFormat="1" ht="21.75" customHeight="1">
      <c r="A111" s="169"/>
      <c r="B111" s="165"/>
      <c r="C111" s="150">
        <v>4430</v>
      </c>
      <c r="D111" s="91" t="s">
        <v>112</v>
      </c>
      <c r="E111" s="163">
        <v>500</v>
      </c>
      <c r="F111" s="168"/>
      <c r="G111" s="168"/>
      <c r="H111" s="175">
        <f t="shared" si="3"/>
        <v>500</v>
      </c>
      <c r="I111" s="271"/>
      <c r="K111" s="244"/>
    </row>
    <row r="112" spans="1:11" s="8" customFormat="1" ht="21.75" customHeight="1">
      <c r="A112" s="86" t="s">
        <v>124</v>
      </c>
      <c r="B112" s="87"/>
      <c r="C112" s="88"/>
      <c r="D112" s="89" t="s">
        <v>125</v>
      </c>
      <c r="E112" s="90">
        <f>SUM(E113)</f>
        <v>1168317</v>
      </c>
      <c r="F112" s="90">
        <f aca="true" t="shared" si="4" ref="F112:H113">SUM(F113)</f>
        <v>0</v>
      </c>
      <c r="G112" s="90">
        <f t="shared" si="4"/>
        <v>172959</v>
      </c>
      <c r="H112" s="90">
        <f t="shared" si="4"/>
        <v>995358</v>
      </c>
      <c r="I112" s="303"/>
      <c r="K112" s="278"/>
    </row>
    <row r="113" spans="1:11" s="51" customFormat="1" ht="30.75" customHeight="1">
      <c r="A113" s="147"/>
      <c r="B113" s="165" t="s">
        <v>126</v>
      </c>
      <c r="C113" s="169"/>
      <c r="D113" s="91" t="s">
        <v>127</v>
      </c>
      <c r="E113" s="163">
        <f>SUM(E114)</f>
        <v>1168317</v>
      </c>
      <c r="F113" s="163">
        <f t="shared" si="4"/>
        <v>0</v>
      </c>
      <c r="G113" s="163">
        <f t="shared" si="4"/>
        <v>172959</v>
      </c>
      <c r="H113" s="163">
        <f t="shared" si="4"/>
        <v>995358</v>
      </c>
      <c r="I113" s="280"/>
      <c r="K113" s="244"/>
    </row>
    <row r="114" spans="1:11" s="51" customFormat="1" ht="33.75" customHeight="1">
      <c r="A114" s="147"/>
      <c r="B114" s="170"/>
      <c r="C114" s="169">
        <v>8070</v>
      </c>
      <c r="D114" s="91" t="s">
        <v>128</v>
      </c>
      <c r="E114" s="163">
        <v>1168317</v>
      </c>
      <c r="F114" s="177"/>
      <c r="G114" s="177">
        <v>172959</v>
      </c>
      <c r="H114" s="177">
        <f t="shared" si="3"/>
        <v>995358</v>
      </c>
      <c r="I114" s="302"/>
      <c r="K114" s="244"/>
    </row>
    <row r="115" spans="1:11" s="8" customFormat="1" ht="21.75" customHeight="1">
      <c r="A115" s="86" t="s">
        <v>58</v>
      </c>
      <c r="B115" s="87"/>
      <c r="C115" s="88"/>
      <c r="D115" s="89" t="s">
        <v>59</v>
      </c>
      <c r="E115" s="90">
        <f>SUM(E116)</f>
        <v>282273</v>
      </c>
      <c r="F115" s="90">
        <f aca="true" t="shared" si="5" ref="F115:H116">SUM(F116)</f>
        <v>0</v>
      </c>
      <c r="G115" s="90">
        <f t="shared" si="5"/>
        <v>0</v>
      </c>
      <c r="H115" s="90">
        <f t="shared" si="5"/>
        <v>282273</v>
      </c>
      <c r="I115" s="303"/>
      <c r="K115" s="278"/>
    </row>
    <row r="116" spans="1:11" s="51" customFormat="1" ht="21.75" customHeight="1">
      <c r="A116" s="147"/>
      <c r="B116" s="165" t="s">
        <v>129</v>
      </c>
      <c r="C116" s="169"/>
      <c r="D116" s="91" t="s">
        <v>130</v>
      </c>
      <c r="E116" s="163">
        <f>SUM(E117)</f>
        <v>282273</v>
      </c>
      <c r="F116" s="163">
        <f t="shared" si="5"/>
        <v>0</v>
      </c>
      <c r="G116" s="163">
        <f t="shared" si="5"/>
        <v>0</v>
      </c>
      <c r="H116" s="163">
        <f t="shared" si="5"/>
        <v>282273</v>
      </c>
      <c r="I116" s="280"/>
      <c r="K116" s="244"/>
    </row>
    <row r="117" spans="1:11" s="51" customFormat="1" ht="21.75" customHeight="1">
      <c r="A117" s="147"/>
      <c r="B117" s="170"/>
      <c r="C117" s="169">
        <v>4810</v>
      </c>
      <c r="D117" s="91" t="s">
        <v>131</v>
      </c>
      <c r="E117" s="163">
        <f>48000+93571+100000+100000-59298</f>
        <v>282273</v>
      </c>
      <c r="F117" s="168"/>
      <c r="G117" s="168"/>
      <c r="H117" s="175">
        <f t="shared" si="3"/>
        <v>282273</v>
      </c>
      <c r="I117" s="271"/>
      <c r="K117" s="244"/>
    </row>
    <row r="118" spans="1:11" s="8" customFormat="1" ht="21.75" customHeight="1">
      <c r="A118" s="86" t="s">
        <v>132</v>
      </c>
      <c r="B118" s="87"/>
      <c r="C118" s="88"/>
      <c r="D118" s="89" t="s">
        <v>133</v>
      </c>
      <c r="E118" s="290">
        <f>SUM(E119,E138,E152,E170,E172,E176,)</f>
        <v>16670432</v>
      </c>
      <c r="F118" s="290">
        <f>SUM(F119,F138,F152,F170,F172,F176,)</f>
        <v>84943</v>
      </c>
      <c r="G118" s="290">
        <f>SUM(G119,G138,G152,G170,G172,G176,)</f>
        <v>540670</v>
      </c>
      <c r="H118" s="290">
        <f>SUM(H119,H138,H152,H170,H172,H176,)</f>
        <v>16214705</v>
      </c>
      <c r="I118" s="305"/>
      <c r="K118" s="278"/>
    </row>
    <row r="119" spans="1:12" s="51" customFormat="1" ht="21.75" customHeight="1">
      <c r="A119" s="147"/>
      <c r="B119" s="165" t="s">
        <v>134</v>
      </c>
      <c r="C119" s="169"/>
      <c r="D119" s="91" t="s">
        <v>64</v>
      </c>
      <c r="E119" s="163">
        <f>SUM(E120:E137)</f>
        <v>9053147</v>
      </c>
      <c r="F119" s="163">
        <f>SUM(F120:F137)</f>
        <v>26515</v>
      </c>
      <c r="G119" s="163">
        <f>SUM(G120:G137)</f>
        <v>319230</v>
      </c>
      <c r="H119" s="163">
        <f>SUM(H120:H137)</f>
        <v>8760432</v>
      </c>
      <c r="I119" s="280"/>
      <c r="K119" s="244"/>
      <c r="L119" s="270"/>
    </row>
    <row r="120" spans="1:12" s="51" customFormat="1" ht="24">
      <c r="A120" s="147"/>
      <c r="B120" s="165"/>
      <c r="C120" s="169">
        <v>2540</v>
      </c>
      <c r="D120" s="91" t="s">
        <v>266</v>
      </c>
      <c r="E120" s="163">
        <v>133094</v>
      </c>
      <c r="F120" s="168">
        <v>6319</v>
      </c>
      <c r="G120" s="168"/>
      <c r="H120" s="175">
        <f t="shared" si="3"/>
        <v>139413</v>
      </c>
      <c r="I120" s="271"/>
      <c r="K120" s="244"/>
      <c r="L120" s="271"/>
    </row>
    <row r="121" spans="1:12" s="51" customFormat="1" ht="21.75" customHeight="1">
      <c r="A121" s="147"/>
      <c r="B121" s="165"/>
      <c r="C121" s="147">
        <v>3020</v>
      </c>
      <c r="D121" s="91" t="s">
        <v>311</v>
      </c>
      <c r="E121" s="163">
        <v>164770</v>
      </c>
      <c r="F121" s="168"/>
      <c r="G121" s="168">
        <f>10534+1468</f>
        <v>12002</v>
      </c>
      <c r="H121" s="175">
        <f t="shared" si="3"/>
        <v>152768</v>
      </c>
      <c r="I121" s="271"/>
      <c r="K121" s="244"/>
      <c r="L121" s="271"/>
    </row>
    <row r="122" spans="1:12" s="51" customFormat="1" ht="21.75" customHeight="1">
      <c r="A122" s="147"/>
      <c r="B122" s="165"/>
      <c r="C122" s="147">
        <v>4010</v>
      </c>
      <c r="D122" s="91" t="s">
        <v>102</v>
      </c>
      <c r="E122" s="163">
        <v>5729443</v>
      </c>
      <c r="F122" s="168"/>
      <c r="G122" s="168">
        <f>39400+37184+41350</f>
        <v>117934</v>
      </c>
      <c r="H122" s="175">
        <f t="shared" si="3"/>
        <v>5611509</v>
      </c>
      <c r="I122" s="271"/>
      <c r="K122" s="244"/>
      <c r="L122" s="271"/>
    </row>
    <row r="123" spans="1:12" s="51" customFormat="1" ht="21.75" customHeight="1">
      <c r="A123" s="147"/>
      <c r="B123" s="165"/>
      <c r="C123" s="147">
        <v>4040</v>
      </c>
      <c r="D123" s="91" t="s">
        <v>103</v>
      </c>
      <c r="E123" s="163">
        <v>442831</v>
      </c>
      <c r="F123" s="168"/>
      <c r="G123" s="168">
        <v>28380</v>
      </c>
      <c r="H123" s="175">
        <f t="shared" si="3"/>
        <v>414451</v>
      </c>
      <c r="I123" s="271"/>
      <c r="K123" s="244"/>
      <c r="L123" s="271"/>
    </row>
    <row r="124" spans="1:12" s="51" customFormat="1" ht="21.75" customHeight="1">
      <c r="A124" s="147"/>
      <c r="B124" s="165"/>
      <c r="C124" s="147">
        <v>4110</v>
      </c>
      <c r="D124" s="91" t="s">
        <v>104</v>
      </c>
      <c r="E124" s="163">
        <v>1130406</v>
      </c>
      <c r="F124" s="168"/>
      <c r="G124" s="168">
        <f>45000+5075+1662</f>
        <v>51737</v>
      </c>
      <c r="H124" s="175">
        <f t="shared" si="3"/>
        <v>1078669</v>
      </c>
      <c r="I124" s="271"/>
      <c r="K124" s="244"/>
      <c r="L124" s="271"/>
    </row>
    <row r="125" spans="1:12" s="51" customFormat="1" ht="21.75" customHeight="1">
      <c r="A125" s="147"/>
      <c r="B125" s="165"/>
      <c r="C125" s="147">
        <v>4120</v>
      </c>
      <c r="D125" s="91" t="s">
        <v>105</v>
      </c>
      <c r="E125" s="163">
        <v>153945</v>
      </c>
      <c r="F125" s="168"/>
      <c r="G125" s="168">
        <v>694</v>
      </c>
      <c r="H125" s="175">
        <f t="shared" si="3"/>
        <v>153251</v>
      </c>
      <c r="I125" s="271"/>
      <c r="K125" s="244"/>
      <c r="L125" s="271"/>
    </row>
    <row r="126" spans="1:12" s="51" customFormat="1" ht="21.75" customHeight="1">
      <c r="A126" s="147"/>
      <c r="B126" s="165"/>
      <c r="C126" s="147">
        <v>4170</v>
      </c>
      <c r="D126" s="91" t="s">
        <v>321</v>
      </c>
      <c r="E126" s="163">
        <v>0</v>
      </c>
      <c r="F126" s="168">
        <v>14400</v>
      </c>
      <c r="G126" s="168"/>
      <c r="H126" s="175">
        <f t="shared" si="3"/>
        <v>14400</v>
      </c>
      <c r="I126" s="271"/>
      <c r="K126" s="244"/>
      <c r="L126" s="271"/>
    </row>
    <row r="127" spans="1:12" s="51" customFormat="1" ht="21.75" customHeight="1">
      <c r="A127" s="147"/>
      <c r="B127" s="165"/>
      <c r="C127" s="147">
        <v>4210</v>
      </c>
      <c r="D127" s="91" t="s">
        <v>110</v>
      </c>
      <c r="E127" s="163">
        <f>4000+250920+29474</f>
        <v>284394</v>
      </c>
      <c r="F127" s="168"/>
      <c r="G127" s="168">
        <v>36625</v>
      </c>
      <c r="H127" s="175">
        <f t="shared" si="3"/>
        <v>247769</v>
      </c>
      <c r="I127" s="271"/>
      <c r="K127" s="244"/>
      <c r="L127" s="271"/>
    </row>
    <row r="128" spans="1:12" s="51" customFormat="1" ht="21.75" customHeight="1">
      <c r="A128" s="147"/>
      <c r="B128" s="165"/>
      <c r="C128" s="169">
        <v>4230</v>
      </c>
      <c r="D128" s="91" t="s">
        <v>136</v>
      </c>
      <c r="E128" s="163">
        <v>1310</v>
      </c>
      <c r="F128" s="168"/>
      <c r="G128" s="168">
        <v>100</v>
      </c>
      <c r="H128" s="175">
        <f t="shared" si="3"/>
        <v>1210</v>
      </c>
      <c r="I128" s="271"/>
      <c r="K128" s="244"/>
      <c r="L128" s="271"/>
    </row>
    <row r="129" spans="1:12" s="51" customFormat="1" ht="21.75" customHeight="1">
      <c r="A129" s="147"/>
      <c r="B129" s="165"/>
      <c r="C129" s="169">
        <v>4240</v>
      </c>
      <c r="D129" s="91" t="s">
        <v>147</v>
      </c>
      <c r="E129" s="163">
        <f>3000</f>
        <v>3000</v>
      </c>
      <c r="F129" s="168"/>
      <c r="G129" s="168"/>
      <c r="H129" s="175">
        <f t="shared" si="3"/>
        <v>3000</v>
      </c>
      <c r="I129" s="271"/>
      <c r="K129" s="244"/>
      <c r="L129" s="271"/>
    </row>
    <row r="130" spans="1:12" s="51" customFormat="1" ht="21.75" customHeight="1">
      <c r="A130" s="147"/>
      <c r="B130" s="165"/>
      <c r="C130" s="147">
        <v>4260</v>
      </c>
      <c r="D130" s="91" t="s">
        <v>113</v>
      </c>
      <c r="E130" s="163">
        <v>400706</v>
      </c>
      <c r="F130" s="168"/>
      <c r="G130" s="168">
        <f>40000+580</f>
        <v>40580</v>
      </c>
      <c r="H130" s="175">
        <f t="shared" si="3"/>
        <v>360126</v>
      </c>
      <c r="I130" s="271"/>
      <c r="K130" s="244"/>
      <c r="L130" s="271"/>
    </row>
    <row r="131" spans="1:12" s="51" customFormat="1" ht="21.75" customHeight="1">
      <c r="A131" s="147"/>
      <c r="B131" s="165"/>
      <c r="C131" s="147">
        <v>4270</v>
      </c>
      <c r="D131" s="91" t="s">
        <v>96</v>
      </c>
      <c r="E131" s="163">
        <f>7320+50000</f>
        <v>57320</v>
      </c>
      <c r="F131" s="168"/>
      <c r="G131" s="168"/>
      <c r="H131" s="175">
        <f t="shared" si="3"/>
        <v>57320</v>
      </c>
      <c r="I131" s="271"/>
      <c r="K131" s="244"/>
      <c r="L131" s="271"/>
    </row>
    <row r="132" spans="1:12" s="51" customFormat="1" ht="21.75" customHeight="1">
      <c r="A132" s="147"/>
      <c r="B132" s="165"/>
      <c r="C132" s="147">
        <v>4300</v>
      </c>
      <c r="D132" s="91" t="s">
        <v>97</v>
      </c>
      <c r="E132" s="163">
        <f>158100+9780</f>
        <v>167880</v>
      </c>
      <c r="F132" s="168"/>
      <c r="G132" s="168">
        <f>5796+21682</f>
        <v>27478</v>
      </c>
      <c r="H132" s="175">
        <f t="shared" si="3"/>
        <v>140402</v>
      </c>
      <c r="I132" s="271"/>
      <c r="K132" s="244"/>
      <c r="L132" s="271"/>
    </row>
    <row r="133" spans="1:12" s="51" customFormat="1" ht="21.75" customHeight="1">
      <c r="A133" s="147"/>
      <c r="B133" s="165"/>
      <c r="C133" s="147">
        <v>4350</v>
      </c>
      <c r="D133" s="91" t="s">
        <v>322</v>
      </c>
      <c r="E133" s="163">
        <v>0</v>
      </c>
      <c r="F133" s="168">
        <v>5796</v>
      </c>
      <c r="G133" s="168"/>
      <c r="H133" s="175">
        <f t="shared" si="3"/>
        <v>5796</v>
      </c>
      <c r="I133" s="271"/>
      <c r="K133" s="244"/>
      <c r="L133" s="271"/>
    </row>
    <row r="134" spans="1:12" s="51" customFormat="1" ht="21.75" customHeight="1">
      <c r="A134" s="147"/>
      <c r="B134" s="165"/>
      <c r="C134" s="147">
        <v>4410</v>
      </c>
      <c r="D134" s="91" t="s">
        <v>108</v>
      </c>
      <c r="E134" s="163">
        <v>13000</v>
      </c>
      <c r="F134" s="168"/>
      <c r="G134" s="168">
        <v>2700</v>
      </c>
      <c r="H134" s="175">
        <f t="shared" si="3"/>
        <v>10300</v>
      </c>
      <c r="I134" s="271"/>
      <c r="K134" s="244"/>
      <c r="L134" s="271"/>
    </row>
    <row r="135" spans="1:12" s="51" customFormat="1" ht="21.75" customHeight="1">
      <c r="A135" s="147"/>
      <c r="B135" s="165"/>
      <c r="C135" s="150">
        <v>4430</v>
      </c>
      <c r="D135" s="91" t="s">
        <v>112</v>
      </c>
      <c r="E135" s="163">
        <v>6990</v>
      </c>
      <c r="F135" s="168"/>
      <c r="G135" s="168">
        <v>1000</v>
      </c>
      <c r="H135" s="175">
        <f t="shared" si="3"/>
        <v>5990</v>
      </c>
      <c r="I135" s="271"/>
      <c r="K135" s="244"/>
      <c r="L135" s="271"/>
    </row>
    <row r="136" spans="1:12" s="51" customFormat="1" ht="21.75" customHeight="1">
      <c r="A136" s="147"/>
      <c r="B136" s="165"/>
      <c r="C136" s="150">
        <v>4440</v>
      </c>
      <c r="D136" s="91" t="s">
        <v>106</v>
      </c>
      <c r="E136" s="163">
        <v>348558</v>
      </c>
      <c r="F136" s="168"/>
      <c r="G136" s="168"/>
      <c r="H136" s="175">
        <f t="shared" si="3"/>
        <v>348558</v>
      </c>
      <c r="I136" s="271"/>
      <c r="K136" s="244"/>
      <c r="L136" s="271"/>
    </row>
    <row r="137" spans="1:12" s="51" customFormat="1" ht="21.75" customHeight="1">
      <c r="A137" s="147"/>
      <c r="B137" s="165"/>
      <c r="C137" s="150">
        <v>6060</v>
      </c>
      <c r="D137" s="91" t="s">
        <v>115</v>
      </c>
      <c r="E137" s="163">
        <v>15500</v>
      </c>
      <c r="F137" s="168"/>
      <c r="G137" s="168"/>
      <c r="H137" s="175">
        <f t="shared" si="3"/>
        <v>15500</v>
      </c>
      <c r="I137" s="271"/>
      <c r="J137" s="244"/>
      <c r="K137" s="244"/>
      <c r="L137" s="271"/>
    </row>
    <row r="138" spans="1:11" s="51" customFormat="1" ht="21.75" customHeight="1">
      <c r="A138" s="171"/>
      <c r="B138" s="165" t="s">
        <v>137</v>
      </c>
      <c r="C138" s="169"/>
      <c r="D138" s="91" t="s">
        <v>148</v>
      </c>
      <c r="E138" s="163">
        <f>SUM(E139:E151)</f>
        <v>2919801</v>
      </c>
      <c r="F138" s="163">
        <f>SUM(F139:F151)</f>
        <v>2800</v>
      </c>
      <c r="G138" s="163">
        <f>SUM(G139:G151)</f>
        <v>57801</v>
      </c>
      <c r="H138" s="163">
        <f>SUM(H139:H151)</f>
        <v>2864800</v>
      </c>
      <c r="I138" s="280"/>
      <c r="K138" s="244"/>
    </row>
    <row r="139" spans="1:11" s="51" customFormat="1" ht="21.75" customHeight="1">
      <c r="A139" s="171"/>
      <c r="B139" s="165"/>
      <c r="C139" s="169">
        <v>2510</v>
      </c>
      <c r="D139" s="91" t="s">
        <v>149</v>
      </c>
      <c r="E139" s="163">
        <f>2653473-100000</f>
        <v>2553473</v>
      </c>
      <c r="F139" s="168"/>
      <c r="G139" s="168">
        <f>65688-18777</f>
        <v>46911</v>
      </c>
      <c r="H139" s="175">
        <f t="shared" si="3"/>
        <v>2506562</v>
      </c>
      <c r="I139" s="271"/>
      <c r="K139" s="244"/>
    </row>
    <row r="140" spans="1:11" s="51" customFormat="1" ht="21.75" customHeight="1">
      <c r="A140" s="171"/>
      <c r="B140" s="165"/>
      <c r="C140" s="169">
        <v>2540</v>
      </c>
      <c r="D140" s="91" t="s">
        <v>266</v>
      </c>
      <c r="E140" s="163">
        <v>72720</v>
      </c>
      <c r="F140" s="168"/>
      <c r="G140" s="168">
        <v>170</v>
      </c>
      <c r="H140" s="175">
        <f t="shared" si="3"/>
        <v>72550</v>
      </c>
      <c r="I140" s="271"/>
      <c r="K140" s="244"/>
    </row>
    <row r="141" spans="1:11" s="51" customFormat="1" ht="21.75" customHeight="1">
      <c r="A141" s="147"/>
      <c r="B141" s="165"/>
      <c r="C141" s="169">
        <v>3020</v>
      </c>
      <c r="D141" s="91" t="s">
        <v>311</v>
      </c>
      <c r="E141" s="163">
        <v>16177</v>
      </c>
      <c r="F141" s="168"/>
      <c r="G141" s="168">
        <v>100</v>
      </c>
      <c r="H141" s="175">
        <f t="shared" si="3"/>
        <v>16077</v>
      </c>
      <c r="I141" s="271"/>
      <c r="K141" s="244"/>
    </row>
    <row r="142" spans="1:11" s="51" customFormat="1" ht="21.75" customHeight="1">
      <c r="A142" s="147"/>
      <c r="B142" s="165"/>
      <c r="C142" s="169">
        <v>4010</v>
      </c>
      <c r="D142" s="91" t="s">
        <v>102</v>
      </c>
      <c r="E142" s="163">
        <v>174333</v>
      </c>
      <c r="F142" s="168"/>
      <c r="G142" s="168">
        <v>2756</v>
      </c>
      <c r="H142" s="175">
        <f t="shared" si="3"/>
        <v>171577</v>
      </c>
      <c r="I142" s="271"/>
      <c r="K142" s="244"/>
    </row>
    <row r="143" spans="1:11" s="51" customFormat="1" ht="21.75" customHeight="1">
      <c r="A143" s="147"/>
      <c r="B143" s="165"/>
      <c r="C143" s="169">
        <v>4040</v>
      </c>
      <c r="D143" s="91" t="s">
        <v>103</v>
      </c>
      <c r="E143" s="163">
        <v>17723</v>
      </c>
      <c r="F143" s="168"/>
      <c r="G143" s="168">
        <v>4792</v>
      </c>
      <c r="H143" s="175">
        <f t="shared" si="3"/>
        <v>12931</v>
      </c>
      <c r="I143" s="271"/>
      <c r="K143" s="244"/>
    </row>
    <row r="144" spans="1:11" s="51" customFormat="1" ht="21.75" customHeight="1">
      <c r="A144" s="147"/>
      <c r="B144" s="165"/>
      <c r="C144" s="169">
        <v>4110</v>
      </c>
      <c r="D144" s="91" t="s">
        <v>104</v>
      </c>
      <c r="E144" s="163">
        <v>37416</v>
      </c>
      <c r="F144" s="168"/>
      <c r="G144" s="168">
        <v>851</v>
      </c>
      <c r="H144" s="175">
        <f t="shared" si="3"/>
        <v>36565</v>
      </c>
      <c r="I144" s="271"/>
      <c r="K144" s="244"/>
    </row>
    <row r="145" spans="1:11" s="51" customFormat="1" ht="21.75" customHeight="1">
      <c r="A145" s="147"/>
      <c r="B145" s="165"/>
      <c r="C145" s="169">
        <v>4120</v>
      </c>
      <c r="D145" s="91" t="s">
        <v>105</v>
      </c>
      <c r="E145" s="163">
        <v>5099</v>
      </c>
      <c r="F145" s="168"/>
      <c r="G145" s="168">
        <v>121</v>
      </c>
      <c r="H145" s="175">
        <f t="shared" si="3"/>
        <v>4978</v>
      </c>
      <c r="I145" s="271"/>
      <c r="K145" s="244"/>
    </row>
    <row r="146" spans="1:11" s="51" customFormat="1" ht="21.75" customHeight="1">
      <c r="A146" s="147"/>
      <c r="B146" s="165"/>
      <c r="C146" s="169">
        <v>4210</v>
      </c>
      <c r="D146" s="91" t="s">
        <v>90</v>
      </c>
      <c r="E146" s="163">
        <f>1000+3300</f>
        <v>4300</v>
      </c>
      <c r="F146" s="168"/>
      <c r="G146" s="168">
        <v>1500</v>
      </c>
      <c r="H146" s="175">
        <f t="shared" si="3"/>
        <v>2800</v>
      </c>
      <c r="I146" s="271"/>
      <c r="K146" s="244"/>
    </row>
    <row r="147" spans="1:11" s="51" customFormat="1" ht="21.75" customHeight="1">
      <c r="A147" s="147"/>
      <c r="B147" s="165"/>
      <c r="C147" s="169">
        <v>4220</v>
      </c>
      <c r="D147" s="91" t="s">
        <v>258</v>
      </c>
      <c r="E147" s="163">
        <v>0</v>
      </c>
      <c r="F147" s="168">
        <v>2800</v>
      </c>
      <c r="G147" s="168"/>
      <c r="H147" s="175">
        <f t="shared" si="3"/>
        <v>2800</v>
      </c>
      <c r="I147" s="271"/>
      <c r="K147" s="244"/>
    </row>
    <row r="148" spans="1:11" s="51" customFormat="1" ht="21.75" customHeight="1">
      <c r="A148" s="147"/>
      <c r="B148" s="165"/>
      <c r="C148" s="169">
        <v>4260</v>
      </c>
      <c r="D148" s="91" t="s">
        <v>113</v>
      </c>
      <c r="E148" s="163">
        <v>650</v>
      </c>
      <c r="F148" s="168"/>
      <c r="G148" s="168"/>
      <c r="H148" s="175">
        <f t="shared" si="3"/>
        <v>650</v>
      </c>
      <c r="I148" s="271"/>
      <c r="K148" s="244"/>
    </row>
    <row r="149" spans="1:11" s="51" customFormat="1" ht="21.75" customHeight="1">
      <c r="A149" s="147"/>
      <c r="B149" s="165"/>
      <c r="C149" s="169">
        <v>4270</v>
      </c>
      <c r="D149" s="91" t="s">
        <v>96</v>
      </c>
      <c r="E149" s="163">
        <v>20000</v>
      </c>
      <c r="F149" s="168"/>
      <c r="G149" s="168"/>
      <c r="H149" s="175">
        <f t="shared" si="3"/>
        <v>20000</v>
      </c>
      <c r="I149" s="271"/>
      <c r="K149" s="244"/>
    </row>
    <row r="150" spans="1:11" s="51" customFormat="1" ht="21.75" customHeight="1">
      <c r="A150" s="147"/>
      <c r="B150" s="165"/>
      <c r="C150" s="169">
        <v>4300</v>
      </c>
      <c r="D150" s="91" t="s">
        <v>97</v>
      </c>
      <c r="E150" s="163">
        <v>1400</v>
      </c>
      <c r="F150" s="168"/>
      <c r="G150" s="168">
        <v>600</v>
      </c>
      <c r="H150" s="175">
        <f t="shared" si="3"/>
        <v>800</v>
      </c>
      <c r="I150" s="271"/>
      <c r="K150" s="244"/>
    </row>
    <row r="151" spans="1:11" s="51" customFormat="1" ht="21.75" customHeight="1">
      <c r="A151" s="147"/>
      <c r="B151" s="165"/>
      <c r="C151" s="169">
        <v>4440</v>
      </c>
      <c r="D151" s="91" t="s">
        <v>138</v>
      </c>
      <c r="E151" s="163">
        <v>16510</v>
      </c>
      <c r="F151" s="168"/>
      <c r="G151" s="168"/>
      <c r="H151" s="175">
        <f t="shared" si="3"/>
        <v>16510</v>
      </c>
      <c r="I151" s="271"/>
      <c r="K151" s="244"/>
    </row>
    <row r="152" spans="1:11" s="51" customFormat="1" ht="21.75" customHeight="1">
      <c r="A152" s="171"/>
      <c r="B152" s="165" t="s">
        <v>139</v>
      </c>
      <c r="C152" s="169"/>
      <c r="D152" s="91" t="s">
        <v>65</v>
      </c>
      <c r="E152" s="163">
        <f>SUM(E153:E169)</f>
        <v>4242957</v>
      </c>
      <c r="F152" s="163">
        <f>SUM(F153:F169)</f>
        <v>34637</v>
      </c>
      <c r="G152" s="163">
        <f>SUM(G153:G169)</f>
        <v>143829</v>
      </c>
      <c r="H152" s="163">
        <f>SUM(H153:H169)</f>
        <v>4133765</v>
      </c>
      <c r="I152" s="280"/>
      <c r="K152" s="244"/>
    </row>
    <row r="153" spans="1:11" s="51" customFormat="1" ht="21.75" customHeight="1">
      <c r="A153" s="147"/>
      <c r="B153" s="165"/>
      <c r="C153" s="169">
        <v>3020</v>
      </c>
      <c r="D153" s="91" t="s">
        <v>311</v>
      </c>
      <c r="E153" s="163">
        <v>31522</v>
      </c>
      <c r="F153" s="168"/>
      <c r="G153" s="168">
        <v>7127</v>
      </c>
      <c r="H153" s="175">
        <f aca="true" t="shared" si="6" ref="H153:H221">SUM(E153+F153-G153)</f>
        <v>24395</v>
      </c>
      <c r="I153" s="271"/>
      <c r="K153" s="244"/>
    </row>
    <row r="154" spans="1:11" s="51" customFormat="1" ht="21.75" customHeight="1">
      <c r="A154" s="147"/>
      <c r="B154" s="165"/>
      <c r="C154" s="169">
        <v>4010</v>
      </c>
      <c r="D154" s="91" t="s">
        <v>102</v>
      </c>
      <c r="E154" s="163">
        <v>2741415</v>
      </c>
      <c r="F154" s="168">
        <v>9317</v>
      </c>
      <c r="G154" s="168">
        <f>49000</f>
        <v>49000</v>
      </c>
      <c r="H154" s="175">
        <f t="shared" si="6"/>
        <v>2701732</v>
      </c>
      <c r="I154" s="271"/>
      <c r="K154" s="244"/>
    </row>
    <row r="155" spans="1:11" s="51" customFormat="1" ht="21.75" customHeight="1">
      <c r="A155" s="147"/>
      <c r="B155" s="165"/>
      <c r="C155" s="169">
        <v>4040</v>
      </c>
      <c r="D155" s="91" t="s">
        <v>103</v>
      </c>
      <c r="E155" s="163">
        <v>213810</v>
      </c>
      <c r="F155" s="168"/>
      <c r="G155" s="168">
        <f>15118+10</f>
        <v>15128</v>
      </c>
      <c r="H155" s="175">
        <f t="shared" si="6"/>
        <v>198682</v>
      </c>
      <c r="I155" s="271"/>
      <c r="K155" s="244"/>
    </row>
    <row r="156" spans="1:11" s="51" customFormat="1" ht="21.75" customHeight="1">
      <c r="A156" s="147"/>
      <c r="B156" s="165"/>
      <c r="C156" s="169">
        <v>4110</v>
      </c>
      <c r="D156" s="91" t="s">
        <v>104</v>
      </c>
      <c r="E156" s="163">
        <v>532096</v>
      </c>
      <c r="F156" s="168"/>
      <c r="G156" s="168">
        <f>20000+2703</f>
        <v>22703</v>
      </c>
      <c r="H156" s="175">
        <f t="shared" si="6"/>
        <v>509393</v>
      </c>
      <c r="I156" s="271"/>
      <c r="K156" s="244"/>
    </row>
    <row r="157" spans="1:11" s="51" customFormat="1" ht="21.75" customHeight="1">
      <c r="A157" s="147"/>
      <c r="B157" s="165"/>
      <c r="C157" s="169">
        <v>4120</v>
      </c>
      <c r="D157" s="91" t="s">
        <v>105</v>
      </c>
      <c r="E157" s="163">
        <v>72467</v>
      </c>
      <c r="F157" s="168"/>
      <c r="G157" s="168">
        <v>371</v>
      </c>
      <c r="H157" s="175">
        <f t="shared" si="6"/>
        <v>72096</v>
      </c>
      <c r="I157" s="271"/>
      <c r="K157" s="244"/>
    </row>
    <row r="158" spans="1:11" s="51" customFormat="1" ht="21.75" customHeight="1">
      <c r="A158" s="147"/>
      <c r="B158" s="165"/>
      <c r="C158" s="169">
        <v>4170</v>
      </c>
      <c r="D158" s="91" t="s">
        <v>321</v>
      </c>
      <c r="E158" s="163">
        <v>0</v>
      </c>
      <c r="F158" s="168">
        <v>21600</v>
      </c>
      <c r="G158" s="168"/>
      <c r="H158" s="175">
        <f t="shared" si="6"/>
        <v>21600</v>
      </c>
      <c r="I158" s="271"/>
      <c r="K158" s="244"/>
    </row>
    <row r="159" spans="1:11" s="51" customFormat="1" ht="21.75" customHeight="1">
      <c r="A159" s="147"/>
      <c r="B159" s="165"/>
      <c r="C159" s="169">
        <v>4210</v>
      </c>
      <c r="D159" s="91" t="s">
        <v>110</v>
      </c>
      <c r="E159" s="163">
        <f>98570+16199</f>
        <v>114769</v>
      </c>
      <c r="F159" s="168"/>
      <c r="G159" s="168">
        <f>6000+10000</f>
        <v>16000</v>
      </c>
      <c r="H159" s="175">
        <f t="shared" si="6"/>
        <v>98769</v>
      </c>
      <c r="I159" s="271"/>
      <c r="K159" s="244"/>
    </row>
    <row r="160" spans="1:11" s="51" customFormat="1" ht="21.75" customHeight="1">
      <c r="A160" s="147"/>
      <c r="B160" s="165"/>
      <c r="C160" s="169">
        <v>4230</v>
      </c>
      <c r="D160" s="91" t="s">
        <v>136</v>
      </c>
      <c r="E160" s="163">
        <v>1400</v>
      </c>
      <c r="F160" s="168"/>
      <c r="G160" s="168">
        <v>400</v>
      </c>
      <c r="H160" s="175">
        <f t="shared" si="6"/>
        <v>1000</v>
      </c>
      <c r="I160" s="271"/>
      <c r="K160" s="244"/>
    </row>
    <row r="161" spans="1:11" s="51" customFormat="1" ht="21.75" customHeight="1">
      <c r="A161" s="147"/>
      <c r="B161" s="165"/>
      <c r="C161" s="169">
        <v>4240</v>
      </c>
      <c r="D161" s="91" t="s">
        <v>147</v>
      </c>
      <c r="E161" s="163">
        <f>1000</f>
        <v>1000</v>
      </c>
      <c r="F161" s="168"/>
      <c r="G161" s="168"/>
      <c r="H161" s="175">
        <f t="shared" si="6"/>
        <v>1000</v>
      </c>
      <c r="I161" s="271"/>
      <c r="K161" s="244"/>
    </row>
    <row r="162" spans="1:11" s="51" customFormat="1" ht="21.75" customHeight="1">
      <c r="A162" s="147"/>
      <c r="B162" s="165"/>
      <c r="C162" s="169">
        <v>4260</v>
      </c>
      <c r="D162" s="91" t="s">
        <v>113</v>
      </c>
      <c r="E162" s="163">
        <v>226880</v>
      </c>
      <c r="F162" s="168"/>
      <c r="G162" s="168">
        <v>17100</v>
      </c>
      <c r="H162" s="175">
        <f t="shared" si="6"/>
        <v>209780</v>
      </c>
      <c r="I162" s="271"/>
      <c r="K162" s="244"/>
    </row>
    <row r="163" spans="1:11" s="51" customFormat="1" ht="21.75" customHeight="1">
      <c r="A163" s="147"/>
      <c r="B163" s="165"/>
      <c r="C163" s="169">
        <v>4270</v>
      </c>
      <c r="D163" s="91" t="s">
        <v>96</v>
      </c>
      <c r="E163" s="163">
        <v>50000</v>
      </c>
      <c r="F163" s="168"/>
      <c r="G163" s="168"/>
      <c r="H163" s="175">
        <f t="shared" si="6"/>
        <v>50000</v>
      </c>
      <c r="I163" s="271"/>
      <c r="K163" s="244"/>
    </row>
    <row r="164" spans="1:11" s="51" customFormat="1" ht="21.75" customHeight="1">
      <c r="A164" s="147"/>
      <c r="B164" s="165"/>
      <c r="C164" s="169">
        <v>4300</v>
      </c>
      <c r="D164" s="91" t="s">
        <v>97</v>
      </c>
      <c r="E164" s="163">
        <f>1000+1700+71360</f>
        <v>74060</v>
      </c>
      <c r="F164" s="168"/>
      <c r="G164" s="168">
        <f>10320+4680</f>
        <v>15000</v>
      </c>
      <c r="H164" s="175">
        <f t="shared" si="6"/>
        <v>59060</v>
      </c>
      <c r="I164" s="271"/>
      <c r="K164" s="244"/>
    </row>
    <row r="165" spans="1:11" s="51" customFormat="1" ht="21.75" customHeight="1">
      <c r="A165" s="147"/>
      <c r="B165" s="165"/>
      <c r="C165" s="169">
        <v>4350</v>
      </c>
      <c r="D165" s="91" t="s">
        <v>322</v>
      </c>
      <c r="E165" s="163">
        <v>0</v>
      </c>
      <c r="F165" s="168">
        <v>3720</v>
      </c>
      <c r="G165" s="168"/>
      <c r="H165" s="175">
        <f t="shared" si="6"/>
        <v>3720</v>
      </c>
      <c r="I165" s="271"/>
      <c r="K165" s="244"/>
    </row>
    <row r="166" spans="1:11" s="51" customFormat="1" ht="21.75" customHeight="1">
      <c r="A166" s="147"/>
      <c r="B166" s="165"/>
      <c r="C166" s="169">
        <v>4410</v>
      </c>
      <c r="D166" s="91" t="s">
        <v>108</v>
      </c>
      <c r="E166" s="163">
        <v>6500</v>
      </c>
      <c r="F166" s="168"/>
      <c r="G166" s="168">
        <v>1000</v>
      </c>
      <c r="H166" s="175">
        <f t="shared" si="6"/>
        <v>5500</v>
      </c>
      <c r="I166" s="271"/>
      <c r="K166" s="244"/>
    </row>
    <row r="167" spans="1:11" s="51" customFormat="1" ht="21.75" customHeight="1">
      <c r="A167" s="147"/>
      <c r="B167" s="165"/>
      <c r="C167" s="169">
        <v>4430</v>
      </c>
      <c r="D167" s="91" t="s">
        <v>112</v>
      </c>
      <c r="E167" s="163">
        <v>4500</v>
      </c>
      <c r="F167" s="168"/>
      <c r="G167" s="168"/>
      <c r="H167" s="175">
        <f t="shared" si="6"/>
        <v>4500</v>
      </c>
      <c r="I167" s="271"/>
      <c r="K167" s="244"/>
    </row>
    <row r="168" spans="1:11" s="51" customFormat="1" ht="21.75" customHeight="1">
      <c r="A168" s="147"/>
      <c r="B168" s="165"/>
      <c r="C168" s="169">
        <v>4440</v>
      </c>
      <c r="D168" s="91" t="s">
        <v>106</v>
      </c>
      <c r="E168" s="163">
        <v>169038</v>
      </c>
      <c r="F168" s="168"/>
      <c r="G168" s="168"/>
      <c r="H168" s="175">
        <f t="shared" si="6"/>
        <v>169038</v>
      </c>
      <c r="I168" s="271"/>
      <c r="K168" s="244"/>
    </row>
    <row r="169" spans="1:11" s="51" customFormat="1" ht="21.75" customHeight="1">
      <c r="A169" s="147"/>
      <c r="B169" s="165"/>
      <c r="C169" s="169">
        <v>6060</v>
      </c>
      <c r="D169" s="91" t="s">
        <v>115</v>
      </c>
      <c r="E169" s="163">
        <v>3500</v>
      </c>
      <c r="F169" s="168"/>
      <c r="G169" s="168"/>
      <c r="H169" s="175">
        <f t="shared" si="6"/>
        <v>3500</v>
      </c>
      <c r="I169" s="271"/>
      <c r="J169" s="244"/>
      <c r="K169" s="244"/>
    </row>
    <row r="170" spans="1:11" s="51" customFormat="1" ht="21.75" customHeight="1">
      <c r="A170" s="147"/>
      <c r="B170" s="165" t="s">
        <v>140</v>
      </c>
      <c r="C170" s="169"/>
      <c r="D170" s="91" t="s">
        <v>141</v>
      </c>
      <c r="E170" s="163">
        <f>SUM(E171)</f>
        <v>253445</v>
      </c>
      <c r="F170" s="163">
        <f>SUM(F171)</f>
        <v>0</v>
      </c>
      <c r="G170" s="163">
        <f>SUM(G171)</f>
        <v>0</v>
      </c>
      <c r="H170" s="163">
        <f>SUM(H171)</f>
        <v>253445</v>
      </c>
      <c r="I170" s="280"/>
      <c r="K170" s="244"/>
    </row>
    <row r="171" spans="1:11" s="51" customFormat="1" ht="21.75" customHeight="1">
      <c r="A171" s="147"/>
      <c r="B171" s="165"/>
      <c r="C171" s="169">
        <v>4300</v>
      </c>
      <c r="D171" s="91" t="s">
        <v>97</v>
      </c>
      <c r="E171" s="163">
        <f>267329-13884</f>
        <v>253445</v>
      </c>
      <c r="F171" s="168"/>
      <c r="G171" s="168"/>
      <c r="H171" s="175">
        <f t="shared" si="6"/>
        <v>253445</v>
      </c>
      <c r="I171" s="271"/>
      <c r="K171" s="244"/>
    </row>
    <row r="172" spans="1:11" s="51" customFormat="1" ht="21.75" customHeight="1">
      <c r="A172" s="147"/>
      <c r="B172" s="170">
        <v>80146</v>
      </c>
      <c r="C172" s="150"/>
      <c r="D172" s="91" t="s">
        <v>212</v>
      </c>
      <c r="E172" s="163">
        <f>SUM(E173:E175)</f>
        <v>85629</v>
      </c>
      <c r="F172" s="163">
        <f>SUM(F173:F175)</f>
        <v>19810</v>
      </c>
      <c r="G172" s="163">
        <f>SUM(G173:G175)</f>
        <v>19810</v>
      </c>
      <c r="H172" s="163">
        <f>SUM(H173:H175)</f>
        <v>85629</v>
      </c>
      <c r="I172" s="280"/>
      <c r="K172" s="244"/>
    </row>
    <row r="173" spans="1:11" s="51" customFormat="1" ht="21.75" customHeight="1">
      <c r="A173" s="147"/>
      <c r="B173" s="170"/>
      <c r="C173" s="150">
        <v>2510</v>
      </c>
      <c r="D173" s="91" t="s">
        <v>149</v>
      </c>
      <c r="E173" s="163">
        <v>9893</v>
      </c>
      <c r="F173" s="168"/>
      <c r="G173" s="168"/>
      <c r="H173" s="175">
        <f t="shared" si="6"/>
        <v>9893</v>
      </c>
      <c r="I173" s="271"/>
      <c r="K173" s="244"/>
    </row>
    <row r="174" spans="1:11" s="51" customFormat="1" ht="21.75" customHeight="1">
      <c r="A174" s="147"/>
      <c r="B174" s="170"/>
      <c r="C174" s="150">
        <v>4300</v>
      </c>
      <c r="D174" s="91" t="s">
        <v>97</v>
      </c>
      <c r="E174" s="163">
        <f>85629-9893</f>
        <v>75736</v>
      </c>
      <c r="F174" s="168"/>
      <c r="G174" s="168">
        <v>19810</v>
      </c>
      <c r="H174" s="175">
        <f t="shared" si="6"/>
        <v>55926</v>
      </c>
      <c r="I174" s="271"/>
      <c r="K174" s="244"/>
    </row>
    <row r="175" spans="1:11" s="51" customFormat="1" ht="21.75" customHeight="1">
      <c r="A175" s="147"/>
      <c r="B175" s="170"/>
      <c r="C175" s="150">
        <v>4410</v>
      </c>
      <c r="D175" s="91" t="s">
        <v>108</v>
      </c>
      <c r="E175" s="163">
        <v>0</v>
      </c>
      <c r="F175" s="168">
        <v>19810</v>
      </c>
      <c r="G175" s="168"/>
      <c r="H175" s="175">
        <f t="shared" si="6"/>
        <v>19810</v>
      </c>
      <c r="I175" s="271"/>
      <c r="K175" s="244"/>
    </row>
    <row r="176" spans="1:11" s="51" customFormat="1" ht="21.75" customHeight="1">
      <c r="A176" s="147"/>
      <c r="B176" s="165">
        <v>80195</v>
      </c>
      <c r="C176" s="147"/>
      <c r="D176" s="91" t="s">
        <v>6</v>
      </c>
      <c r="E176" s="163">
        <f>SUM(E177:E177)</f>
        <v>115453</v>
      </c>
      <c r="F176" s="163">
        <f>SUM(F177:F177)</f>
        <v>1181</v>
      </c>
      <c r="G176" s="163">
        <f>SUM(G177:G177)</f>
        <v>0</v>
      </c>
      <c r="H176" s="163">
        <f>SUM(H177:H177)</f>
        <v>116634</v>
      </c>
      <c r="I176" s="280"/>
      <c r="K176" s="244"/>
    </row>
    <row r="177" spans="1:11" s="51" customFormat="1" ht="21.75" customHeight="1">
      <c r="A177" s="147"/>
      <c r="B177" s="165"/>
      <c r="C177" s="147">
        <v>4440</v>
      </c>
      <c r="D177" s="91" t="s">
        <v>106</v>
      </c>
      <c r="E177" s="163">
        <v>115453</v>
      </c>
      <c r="F177" s="168">
        <v>1181</v>
      </c>
      <c r="G177" s="168"/>
      <c r="H177" s="175">
        <f t="shared" si="6"/>
        <v>116634</v>
      </c>
      <c r="I177" s="271"/>
      <c r="K177" s="244"/>
    </row>
    <row r="178" spans="1:11" s="8" customFormat="1" ht="21.75" customHeight="1">
      <c r="A178" s="86" t="s">
        <v>142</v>
      </c>
      <c r="B178" s="87"/>
      <c r="C178" s="88"/>
      <c r="D178" s="89" t="s">
        <v>67</v>
      </c>
      <c r="E178" s="90">
        <f>SUM(E179,E181,E186,)</f>
        <v>126466</v>
      </c>
      <c r="F178" s="90">
        <f>SUM(F179,F181,F186,)</f>
        <v>6906</v>
      </c>
      <c r="G178" s="90">
        <f>SUM(G179,G181,G186,)</f>
        <v>500</v>
      </c>
      <c r="H178" s="90">
        <f>SUM(H179,H181,H186,)</f>
        <v>132872</v>
      </c>
      <c r="I178" s="303"/>
      <c r="K178" s="278"/>
    </row>
    <row r="179" spans="1:11" s="51" customFormat="1" ht="21.75" customHeight="1">
      <c r="A179" s="147"/>
      <c r="B179" s="170">
        <v>85111</v>
      </c>
      <c r="C179" s="169"/>
      <c r="D179" s="91" t="s">
        <v>275</v>
      </c>
      <c r="E179" s="163">
        <f>SUM(E180)</f>
        <v>10000</v>
      </c>
      <c r="F179" s="163">
        <f>SUM(F180)</f>
        <v>0</v>
      </c>
      <c r="G179" s="163">
        <f>SUM(G180)</f>
        <v>0</v>
      </c>
      <c r="H179" s="163">
        <f>SUM(H180)</f>
        <v>10000</v>
      </c>
      <c r="I179" s="280"/>
      <c r="K179" s="244"/>
    </row>
    <row r="180" spans="1:11" s="51" customFormat="1" ht="51.75" customHeight="1">
      <c r="A180" s="147"/>
      <c r="B180" s="170"/>
      <c r="C180" s="169">
        <v>6300</v>
      </c>
      <c r="D180" s="28" t="s">
        <v>279</v>
      </c>
      <c r="E180" s="163">
        <v>10000</v>
      </c>
      <c r="F180" s="168"/>
      <c r="G180" s="168"/>
      <c r="H180" s="175">
        <f t="shared" si="6"/>
        <v>10000</v>
      </c>
      <c r="I180" s="271"/>
      <c r="J180" s="244"/>
      <c r="K180" s="244"/>
    </row>
    <row r="181" spans="1:11" s="51" customFormat="1" ht="21.75" customHeight="1">
      <c r="A181" s="147"/>
      <c r="B181" s="165" t="s">
        <v>143</v>
      </c>
      <c r="C181" s="169"/>
      <c r="D181" s="91" t="s">
        <v>68</v>
      </c>
      <c r="E181" s="163">
        <f>SUM(E182:E185)</f>
        <v>111466</v>
      </c>
      <c r="F181" s="163">
        <f>SUM(F182:F185)</f>
        <v>6906</v>
      </c>
      <c r="G181" s="163">
        <f>SUM(G182:G185)</f>
        <v>500</v>
      </c>
      <c r="H181" s="163">
        <f>SUM(H182:H185)</f>
        <v>117872</v>
      </c>
      <c r="I181" s="280"/>
      <c r="K181" s="244"/>
    </row>
    <row r="182" spans="1:11" s="51" customFormat="1" ht="21" customHeight="1">
      <c r="A182" s="147"/>
      <c r="B182" s="170"/>
      <c r="C182" s="169">
        <v>3030</v>
      </c>
      <c r="D182" s="91" t="s">
        <v>107</v>
      </c>
      <c r="E182" s="163">
        <v>16500</v>
      </c>
      <c r="F182" s="168"/>
      <c r="G182" s="168">
        <v>500</v>
      </c>
      <c r="H182" s="175">
        <f t="shared" si="6"/>
        <v>16000</v>
      </c>
      <c r="I182" s="271"/>
      <c r="K182" s="244"/>
    </row>
    <row r="183" spans="1:11" s="51" customFormat="1" ht="21" customHeight="1">
      <c r="A183" s="147"/>
      <c r="B183" s="170"/>
      <c r="C183" s="169">
        <v>4210</v>
      </c>
      <c r="D183" s="91" t="s">
        <v>110</v>
      </c>
      <c r="E183" s="163">
        <v>5000</v>
      </c>
      <c r="F183" s="168"/>
      <c r="G183" s="168"/>
      <c r="H183" s="175">
        <f t="shared" si="6"/>
        <v>5000</v>
      </c>
      <c r="I183" s="271"/>
      <c r="K183" s="244"/>
    </row>
    <row r="184" spans="1:11" s="51" customFormat="1" ht="21" customHeight="1">
      <c r="A184" s="147"/>
      <c r="B184" s="170"/>
      <c r="C184" s="169">
        <v>4300</v>
      </c>
      <c r="D184" s="91" t="s">
        <v>97</v>
      </c>
      <c r="E184" s="163">
        <v>59966</v>
      </c>
      <c r="F184" s="168">
        <v>6906</v>
      </c>
      <c r="G184" s="168"/>
      <c r="H184" s="175">
        <f t="shared" si="6"/>
        <v>66872</v>
      </c>
      <c r="I184" s="271"/>
      <c r="K184" s="244"/>
    </row>
    <row r="185" spans="1:11" s="51" customFormat="1" ht="24">
      <c r="A185" s="147"/>
      <c r="B185" s="170"/>
      <c r="C185" s="169">
        <v>6060</v>
      </c>
      <c r="D185" s="91" t="s">
        <v>115</v>
      </c>
      <c r="E185" s="163">
        <v>30000</v>
      </c>
      <c r="F185" s="168"/>
      <c r="G185" s="168"/>
      <c r="H185" s="175">
        <f t="shared" si="6"/>
        <v>30000</v>
      </c>
      <c r="I185" s="271"/>
      <c r="J185" s="244"/>
      <c r="K185" s="244"/>
    </row>
    <row r="186" spans="1:11" s="51" customFormat="1" ht="21" customHeight="1">
      <c r="A186" s="147"/>
      <c r="B186" s="170">
        <v>85195</v>
      </c>
      <c r="C186" s="169"/>
      <c r="D186" s="91" t="s">
        <v>6</v>
      </c>
      <c r="E186" s="163">
        <f>SUM(E187)</f>
        <v>5000</v>
      </c>
      <c r="F186" s="163">
        <f>SUM(F187)</f>
        <v>0</v>
      </c>
      <c r="G186" s="163">
        <f>SUM(G187)</f>
        <v>0</v>
      </c>
      <c r="H186" s="163">
        <f>SUM(H187)</f>
        <v>5000</v>
      </c>
      <c r="I186" s="280"/>
      <c r="K186" s="244"/>
    </row>
    <row r="187" spans="1:11" s="51" customFormat="1" ht="21" customHeight="1">
      <c r="A187" s="147"/>
      <c r="B187" s="170"/>
      <c r="C187" s="169">
        <v>4430</v>
      </c>
      <c r="D187" s="91" t="s">
        <v>112</v>
      </c>
      <c r="E187" s="163">
        <v>5000</v>
      </c>
      <c r="F187" s="168"/>
      <c r="G187" s="168"/>
      <c r="H187" s="175">
        <f t="shared" si="6"/>
        <v>5000</v>
      </c>
      <c r="I187" s="271"/>
      <c r="K187" s="244"/>
    </row>
    <row r="188" spans="1:11" s="8" customFormat="1" ht="21.75" customHeight="1">
      <c r="A188" s="86" t="s">
        <v>225</v>
      </c>
      <c r="B188" s="87"/>
      <c r="C188" s="88"/>
      <c r="D188" s="89" t="s">
        <v>278</v>
      </c>
      <c r="E188" s="90">
        <f>SUM(E189,E200,E202,E205,E207,E223,E225,)</f>
        <v>9440357</v>
      </c>
      <c r="F188" s="90">
        <f>SUM(F189,F200,F202,F205,F207,F223,F225,)</f>
        <v>513819</v>
      </c>
      <c r="G188" s="90">
        <f>SUM(G189,G200,G202,G205,G207,G223,G225,)</f>
        <v>320239</v>
      </c>
      <c r="H188" s="90">
        <f>SUM(H189,H200,H202,H205,H207,H223,H225,)</f>
        <v>9633937</v>
      </c>
      <c r="I188" s="303"/>
      <c r="K188" s="278"/>
    </row>
    <row r="189" spans="1:11" s="51" customFormat="1" ht="35.25" customHeight="1">
      <c r="A189" s="217"/>
      <c r="B189" s="118">
        <v>85212</v>
      </c>
      <c r="C189" s="161"/>
      <c r="D189" s="159" t="s">
        <v>349</v>
      </c>
      <c r="E189" s="151">
        <f>SUM(E190:E199)</f>
        <v>5589800</v>
      </c>
      <c r="F189" s="151">
        <f>SUM(F190:F199)</f>
        <v>0</v>
      </c>
      <c r="G189" s="151">
        <f>SUM(G190:G199)</f>
        <v>0</v>
      </c>
      <c r="H189" s="151">
        <f>SUM(H190:H199)</f>
        <v>5589800</v>
      </c>
      <c r="I189" s="250"/>
      <c r="K189" s="244"/>
    </row>
    <row r="190" spans="1:11" s="51" customFormat="1" ht="21.75" customHeight="1">
      <c r="A190" s="217"/>
      <c r="B190" s="118"/>
      <c r="C190" s="161">
        <v>3020</v>
      </c>
      <c r="D190" s="91" t="s">
        <v>311</v>
      </c>
      <c r="E190" s="151">
        <v>1000</v>
      </c>
      <c r="F190" s="168"/>
      <c r="G190" s="168"/>
      <c r="H190" s="175">
        <f t="shared" si="6"/>
        <v>1000</v>
      </c>
      <c r="I190" s="271"/>
      <c r="K190" s="244"/>
    </row>
    <row r="191" spans="1:11" s="51" customFormat="1" ht="21.75" customHeight="1">
      <c r="A191" s="217"/>
      <c r="B191" s="118"/>
      <c r="C191" s="161">
        <v>3110</v>
      </c>
      <c r="D191" s="159" t="s">
        <v>135</v>
      </c>
      <c r="E191" s="151">
        <v>5365883</v>
      </c>
      <c r="F191" s="168"/>
      <c r="G191" s="168"/>
      <c r="H191" s="175">
        <f t="shared" si="6"/>
        <v>5365883</v>
      </c>
      <c r="I191" s="271"/>
      <c r="K191" s="244"/>
    </row>
    <row r="192" spans="1:11" s="51" customFormat="1" ht="21.75" customHeight="1">
      <c r="A192" s="217"/>
      <c r="B192" s="118"/>
      <c r="C192" s="118">
        <v>4010</v>
      </c>
      <c r="D192" s="28" t="s">
        <v>102</v>
      </c>
      <c r="E192" s="151">
        <f>60213+20900</f>
        <v>81113</v>
      </c>
      <c r="F192" s="168"/>
      <c r="G192" s="168"/>
      <c r="H192" s="175">
        <f t="shared" si="6"/>
        <v>81113</v>
      </c>
      <c r="I192" s="271"/>
      <c r="K192" s="244"/>
    </row>
    <row r="193" spans="1:11" s="51" customFormat="1" ht="21.75" customHeight="1">
      <c r="A193" s="217"/>
      <c r="B193" s="118"/>
      <c r="C193" s="118">
        <v>4040</v>
      </c>
      <c r="D193" s="28" t="s">
        <v>103</v>
      </c>
      <c r="E193" s="151">
        <v>3800</v>
      </c>
      <c r="F193" s="168"/>
      <c r="G193" s="168"/>
      <c r="H193" s="175">
        <f t="shared" si="6"/>
        <v>3800</v>
      </c>
      <c r="I193" s="271"/>
      <c r="K193" s="244"/>
    </row>
    <row r="194" spans="1:11" s="51" customFormat="1" ht="21.75" customHeight="1">
      <c r="A194" s="217"/>
      <c r="B194" s="118"/>
      <c r="C194" s="118">
        <v>4110</v>
      </c>
      <c r="D194" s="28" t="s">
        <v>104</v>
      </c>
      <c r="E194" s="151">
        <f>90000+11631+3000</f>
        <v>104631</v>
      </c>
      <c r="F194" s="168"/>
      <c r="G194" s="168"/>
      <c r="H194" s="175">
        <f t="shared" si="6"/>
        <v>104631</v>
      </c>
      <c r="I194" s="271"/>
      <c r="K194" s="244"/>
    </row>
    <row r="195" spans="1:11" s="51" customFormat="1" ht="21.75" customHeight="1">
      <c r="A195" s="217"/>
      <c r="B195" s="118"/>
      <c r="C195" s="118">
        <v>4120</v>
      </c>
      <c r="D195" s="28" t="s">
        <v>105</v>
      </c>
      <c r="E195" s="151">
        <f>1181+900</f>
        <v>2081</v>
      </c>
      <c r="F195" s="168"/>
      <c r="G195" s="168"/>
      <c r="H195" s="175">
        <f t="shared" si="6"/>
        <v>2081</v>
      </c>
      <c r="I195" s="271"/>
      <c r="K195" s="244"/>
    </row>
    <row r="196" spans="1:11" s="51" customFormat="1" ht="21.75" customHeight="1">
      <c r="A196" s="217"/>
      <c r="B196" s="160"/>
      <c r="C196" s="118">
        <v>4210</v>
      </c>
      <c r="D196" s="28" t="s">
        <v>110</v>
      </c>
      <c r="E196" s="151">
        <v>16017</v>
      </c>
      <c r="F196" s="168"/>
      <c r="G196" s="168"/>
      <c r="H196" s="175">
        <f t="shared" si="6"/>
        <v>16017</v>
      </c>
      <c r="I196" s="271"/>
      <c r="K196" s="244"/>
    </row>
    <row r="197" spans="1:11" s="51" customFormat="1" ht="21.75" customHeight="1">
      <c r="A197" s="217"/>
      <c r="B197" s="160"/>
      <c r="C197" s="118">
        <v>4300</v>
      </c>
      <c r="D197" s="28" t="s">
        <v>97</v>
      </c>
      <c r="E197" s="151">
        <v>12000</v>
      </c>
      <c r="F197" s="168"/>
      <c r="G197" s="168"/>
      <c r="H197" s="175">
        <f t="shared" si="6"/>
        <v>12000</v>
      </c>
      <c r="I197" s="271"/>
      <c r="K197" s="244"/>
    </row>
    <row r="198" spans="1:11" s="51" customFormat="1" ht="21.75" customHeight="1">
      <c r="A198" s="217"/>
      <c r="B198" s="160"/>
      <c r="C198" s="118">
        <v>4410</v>
      </c>
      <c r="D198" s="28" t="s">
        <v>108</v>
      </c>
      <c r="E198" s="151">
        <v>500</v>
      </c>
      <c r="F198" s="168"/>
      <c r="G198" s="168"/>
      <c r="H198" s="175">
        <f t="shared" si="6"/>
        <v>500</v>
      </c>
      <c r="I198" s="271"/>
      <c r="K198" s="244"/>
    </row>
    <row r="199" spans="1:11" s="51" customFormat="1" ht="21.75" customHeight="1">
      <c r="A199" s="217"/>
      <c r="B199" s="160"/>
      <c r="C199" s="118">
        <v>4440</v>
      </c>
      <c r="D199" s="28" t="s">
        <v>106</v>
      </c>
      <c r="E199" s="151">
        <v>2775</v>
      </c>
      <c r="F199" s="168"/>
      <c r="G199" s="168"/>
      <c r="H199" s="175">
        <f t="shared" si="6"/>
        <v>2775</v>
      </c>
      <c r="I199" s="271"/>
      <c r="K199" s="244"/>
    </row>
    <row r="200" spans="1:11" s="51" customFormat="1" ht="42" customHeight="1">
      <c r="A200" s="147"/>
      <c r="B200" s="170">
        <v>85213</v>
      </c>
      <c r="C200" s="169"/>
      <c r="D200" s="91" t="s">
        <v>274</v>
      </c>
      <c r="E200" s="163">
        <f>SUM(E201)</f>
        <v>160900</v>
      </c>
      <c r="F200" s="163">
        <f>SUM(F201)</f>
        <v>0</v>
      </c>
      <c r="G200" s="163">
        <f>SUM(G201)</f>
        <v>0</v>
      </c>
      <c r="H200" s="163">
        <f>SUM(H201)</f>
        <v>160900</v>
      </c>
      <c r="I200" s="280"/>
      <c r="K200" s="244"/>
    </row>
    <row r="201" spans="1:11" s="51" customFormat="1" ht="21.75" customHeight="1">
      <c r="A201" s="147"/>
      <c r="B201" s="170"/>
      <c r="C201" s="169">
        <v>4130</v>
      </c>
      <c r="D201" s="91" t="s">
        <v>144</v>
      </c>
      <c r="E201" s="163">
        <v>160900</v>
      </c>
      <c r="F201" s="168"/>
      <c r="G201" s="168"/>
      <c r="H201" s="175">
        <f t="shared" si="6"/>
        <v>160900</v>
      </c>
      <c r="I201" s="271"/>
      <c r="K201" s="244"/>
    </row>
    <row r="202" spans="1:11" s="51" customFormat="1" ht="21.75" customHeight="1">
      <c r="A202" s="147"/>
      <c r="B202" s="165">
        <v>85214</v>
      </c>
      <c r="C202" s="169"/>
      <c r="D202" s="91" t="s">
        <v>71</v>
      </c>
      <c r="E202" s="163">
        <f>SUM(E203:E204)</f>
        <v>870300</v>
      </c>
      <c r="F202" s="163">
        <f>SUM(F203:F204)</f>
        <v>510000</v>
      </c>
      <c r="G202" s="163">
        <f>SUM(G203:G204)</f>
        <v>10000</v>
      </c>
      <c r="H202" s="163">
        <f>SUM(H203:H204)</f>
        <v>1370300</v>
      </c>
      <c r="I202" s="280"/>
      <c r="K202" s="244"/>
    </row>
    <row r="203" spans="1:11" s="51" customFormat="1" ht="21.75" customHeight="1">
      <c r="A203" s="147"/>
      <c r="B203" s="165"/>
      <c r="C203" s="169">
        <v>3110</v>
      </c>
      <c r="D203" s="91" t="s">
        <v>135</v>
      </c>
      <c r="E203" s="163">
        <f>19000+531100+320200</f>
        <v>870300</v>
      </c>
      <c r="F203" s="292">
        <f>300000+200000</f>
        <v>500000</v>
      </c>
      <c r="G203" s="292">
        <v>10000</v>
      </c>
      <c r="H203" s="292">
        <f t="shared" si="6"/>
        <v>1360300</v>
      </c>
      <c r="I203" s="304"/>
      <c r="K203" s="244"/>
    </row>
    <row r="204" spans="1:11" s="51" customFormat="1" ht="21.75" customHeight="1">
      <c r="A204" s="147"/>
      <c r="B204" s="165"/>
      <c r="C204" s="169">
        <v>4110</v>
      </c>
      <c r="D204" s="91" t="s">
        <v>104</v>
      </c>
      <c r="E204" s="163">
        <v>0</v>
      </c>
      <c r="F204" s="168">
        <v>10000</v>
      </c>
      <c r="G204" s="168"/>
      <c r="H204" s="175">
        <f t="shared" si="6"/>
        <v>10000</v>
      </c>
      <c r="I204" s="271"/>
      <c r="K204" s="244"/>
    </row>
    <row r="205" spans="1:11" s="51" customFormat="1" ht="21.75" customHeight="1">
      <c r="A205" s="147"/>
      <c r="B205" s="165">
        <v>85215</v>
      </c>
      <c r="C205" s="169"/>
      <c r="D205" s="91" t="s">
        <v>72</v>
      </c>
      <c r="E205" s="163">
        <f>SUM(E206)</f>
        <v>1850000</v>
      </c>
      <c r="F205" s="163">
        <f>SUM(F206)</f>
        <v>0</v>
      </c>
      <c r="G205" s="163">
        <f>SUM(G206)</f>
        <v>300014</v>
      </c>
      <c r="H205" s="163">
        <f>SUM(H206)</f>
        <v>1549986</v>
      </c>
      <c r="I205" s="280"/>
      <c r="K205" s="244"/>
    </row>
    <row r="206" spans="1:11" s="51" customFormat="1" ht="21.75" customHeight="1">
      <c r="A206" s="147"/>
      <c r="B206" s="165"/>
      <c r="C206" s="169">
        <v>3110</v>
      </c>
      <c r="D206" s="91" t="s">
        <v>135</v>
      </c>
      <c r="E206" s="163">
        <v>1850000</v>
      </c>
      <c r="F206" s="168"/>
      <c r="G206" s="168">
        <v>300014</v>
      </c>
      <c r="H206" s="175">
        <f t="shared" si="6"/>
        <v>1549986</v>
      </c>
      <c r="I206" s="271"/>
      <c r="K206" s="244"/>
    </row>
    <row r="207" spans="1:11" s="51" customFormat="1" ht="21.75" customHeight="1">
      <c r="A207" s="147"/>
      <c r="B207" s="165">
        <v>85219</v>
      </c>
      <c r="C207" s="169"/>
      <c r="D207" s="91" t="s">
        <v>73</v>
      </c>
      <c r="E207" s="163">
        <f>SUM(E208:E222)</f>
        <v>823837</v>
      </c>
      <c r="F207" s="163">
        <f>SUM(F208:F222)</f>
        <v>3819</v>
      </c>
      <c r="G207" s="163">
        <f>SUM(G208:G222)</f>
        <v>10225</v>
      </c>
      <c r="H207" s="163">
        <f>SUM(H208:H222)</f>
        <v>817431</v>
      </c>
      <c r="I207" s="280"/>
      <c r="K207" s="244"/>
    </row>
    <row r="208" spans="1:11" s="51" customFormat="1" ht="21.75" customHeight="1">
      <c r="A208" s="147"/>
      <c r="B208" s="165"/>
      <c r="C208" s="169">
        <v>3020</v>
      </c>
      <c r="D208" s="91" t="s">
        <v>311</v>
      </c>
      <c r="E208" s="163">
        <v>1400</v>
      </c>
      <c r="F208" s="168"/>
      <c r="G208" s="168"/>
      <c r="H208" s="175">
        <f t="shared" si="6"/>
        <v>1400</v>
      </c>
      <c r="I208" s="271"/>
      <c r="K208" s="244"/>
    </row>
    <row r="209" spans="1:11" s="51" customFormat="1" ht="21.75" customHeight="1">
      <c r="A209" s="147"/>
      <c r="B209" s="165"/>
      <c r="C209" s="169">
        <v>4010</v>
      </c>
      <c r="D209" s="91" t="s">
        <v>102</v>
      </c>
      <c r="E209" s="163">
        <f>21284+386670</f>
        <v>407954</v>
      </c>
      <c r="F209" s="168"/>
      <c r="G209" s="168">
        <v>5640</v>
      </c>
      <c r="H209" s="175">
        <f t="shared" si="6"/>
        <v>402314</v>
      </c>
      <c r="I209" s="271"/>
      <c r="K209" s="244"/>
    </row>
    <row r="210" spans="1:11" s="51" customFormat="1" ht="21.75" customHeight="1">
      <c r="A210" s="147"/>
      <c r="B210" s="165"/>
      <c r="C210" s="169">
        <v>4040</v>
      </c>
      <c r="D210" s="91" t="s">
        <v>103</v>
      </c>
      <c r="E210" s="163">
        <f>1220+31250</f>
        <v>32470</v>
      </c>
      <c r="F210" s="168">
        <v>11</v>
      </c>
      <c r="G210" s="168"/>
      <c r="H210" s="175">
        <f t="shared" si="6"/>
        <v>32481</v>
      </c>
      <c r="I210" s="271"/>
      <c r="K210" s="244"/>
    </row>
    <row r="211" spans="1:11" s="51" customFormat="1" ht="21.75" customHeight="1">
      <c r="A211" s="147"/>
      <c r="B211" s="165"/>
      <c r="C211" s="169">
        <v>4110</v>
      </c>
      <c r="D211" s="91" t="s">
        <v>104</v>
      </c>
      <c r="E211" s="163">
        <f>3990+74100</f>
        <v>78090</v>
      </c>
      <c r="F211" s="168"/>
      <c r="G211" s="168">
        <v>998</v>
      </c>
      <c r="H211" s="175">
        <f t="shared" si="6"/>
        <v>77092</v>
      </c>
      <c r="I211" s="271"/>
      <c r="K211" s="244"/>
    </row>
    <row r="212" spans="1:11" s="51" customFormat="1" ht="21.75" customHeight="1">
      <c r="A212" s="147"/>
      <c r="B212" s="165"/>
      <c r="C212" s="169">
        <v>4120</v>
      </c>
      <c r="D212" s="91" t="s">
        <v>105</v>
      </c>
      <c r="E212" s="163">
        <f>552+10243</f>
        <v>10795</v>
      </c>
      <c r="F212" s="168"/>
      <c r="G212" s="168">
        <v>139</v>
      </c>
      <c r="H212" s="175">
        <f t="shared" si="6"/>
        <v>10656</v>
      </c>
      <c r="I212" s="271"/>
      <c r="K212" s="244"/>
    </row>
    <row r="213" spans="1:11" s="51" customFormat="1" ht="21.75" customHeight="1">
      <c r="A213" s="147"/>
      <c r="B213" s="165"/>
      <c r="C213" s="169">
        <v>4170</v>
      </c>
      <c r="D213" s="91" t="s">
        <v>321</v>
      </c>
      <c r="E213" s="163">
        <f>17000+8000</f>
        <v>25000</v>
      </c>
      <c r="F213" s="168">
        <v>2000</v>
      </c>
      <c r="G213" s="168"/>
      <c r="H213" s="175">
        <f t="shared" si="6"/>
        <v>27000</v>
      </c>
      <c r="I213" s="271"/>
      <c r="K213" s="244"/>
    </row>
    <row r="214" spans="1:11" s="51" customFormat="1" ht="21.75" customHeight="1">
      <c r="A214" s="147"/>
      <c r="B214" s="165"/>
      <c r="C214" s="169">
        <v>4210</v>
      </c>
      <c r="D214" s="91" t="s">
        <v>110</v>
      </c>
      <c r="E214" s="163">
        <f>5943+28000</f>
        <v>33943</v>
      </c>
      <c r="F214" s="168"/>
      <c r="G214" s="168">
        <f>2298+150</f>
        <v>2448</v>
      </c>
      <c r="H214" s="175">
        <f t="shared" si="6"/>
        <v>31495</v>
      </c>
      <c r="I214" s="271"/>
      <c r="K214" s="244"/>
    </row>
    <row r="215" spans="1:11" s="51" customFormat="1" ht="21.75" customHeight="1">
      <c r="A215" s="147"/>
      <c r="B215" s="165"/>
      <c r="C215" s="169">
        <v>4220</v>
      </c>
      <c r="D215" s="91" t="s">
        <v>258</v>
      </c>
      <c r="E215" s="163">
        <v>55000</v>
      </c>
      <c r="F215" s="168"/>
      <c r="G215" s="168"/>
      <c r="H215" s="175">
        <f t="shared" si="6"/>
        <v>55000</v>
      </c>
      <c r="I215" s="271"/>
      <c r="K215" s="244"/>
    </row>
    <row r="216" spans="1:11" s="51" customFormat="1" ht="21.75" customHeight="1">
      <c r="A216" s="147"/>
      <c r="B216" s="165"/>
      <c r="C216" s="169">
        <v>4260</v>
      </c>
      <c r="D216" s="91" t="s">
        <v>113</v>
      </c>
      <c r="E216" s="163">
        <v>10000</v>
      </c>
      <c r="F216" s="168"/>
      <c r="G216" s="168"/>
      <c r="H216" s="175">
        <f t="shared" si="6"/>
        <v>10000</v>
      </c>
      <c r="I216" s="271"/>
      <c r="K216" s="244"/>
    </row>
    <row r="217" spans="1:11" s="51" customFormat="1" ht="21.75" customHeight="1">
      <c r="A217" s="147"/>
      <c r="B217" s="165"/>
      <c r="C217" s="169">
        <v>4280</v>
      </c>
      <c r="D217" s="91" t="s">
        <v>344</v>
      </c>
      <c r="E217" s="163">
        <v>0</v>
      </c>
      <c r="F217" s="168">
        <f>690+150</f>
        <v>840</v>
      </c>
      <c r="G217" s="168"/>
      <c r="H217" s="175">
        <f t="shared" si="6"/>
        <v>840</v>
      </c>
      <c r="I217" s="271"/>
      <c r="K217" s="244"/>
    </row>
    <row r="218" spans="1:11" s="51" customFormat="1" ht="21.75" customHeight="1">
      <c r="A218" s="147"/>
      <c r="B218" s="165"/>
      <c r="C218" s="169">
        <v>4300</v>
      </c>
      <c r="D218" s="91" t="s">
        <v>97</v>
      </c>
      <c r="E218" s="163">
        <f>39325+111000</f>
        <v>150325</v>
      </c>
      <c r="F218" s="168">
        <v>360</v>
      </c>
      <c r="G218" s="168">
        <v>1000</v>
      </c>
      <c r="H218" s="175">
        <f t="shared" si="6"/>
        <v>149685</v>
      </c>
      <c r="I218" s="271"/>
      <c r="K218" s="244"/>
    </row>
    <row r="219" spans="1:11" s="51" customFormat="1" ht="21.75" customHeight="1">
      <c r="A219" s="147"/>
      <c r="B219" s="165"/>
      <c r="C219" s="169">
        <v>4350</v>
      </c>
      <c r="D219" s="91" t="s">
        <v>322</v>
      </c>
      <c r="E219" s="163">
        <v>0</v>
      </c>
      <c r="F219" s="168">
        <v>608</v>
      </c>
      <c r="G219" s="168"/>
      <c r="H219" s="175">
        <f t="shared" si="6"/>
        <v>608</v>
      </c>
      <c r="I219" s="271"/>
      <c r="K219" s="244"/>
    </row>
    <row r="220" spans="1:11" s="51" customFormat="1" ht="21.75" customHeight="1">
      <c r="A220" s="147"/>
      <c r="B220" s="165"/>
      <c r="C220" s="169">
        <v>4410</v>
      </c>
      <c r="D220" s="91" t="s">
        <v>108</v>
      </c>
      <c r="E220" s="163">
        <f>500+5000</f>
        <v>5500</v>
      </c>
      <c r="F220" s="168"/>
      <c r="G220" s="168"/>
      <c r="H220" s="175">
        <f t="shared" si="6"/>
        <v>5500</v>
      </c>
      <c r="I220" s="271"/>
      <c r="K220" s="244"/>
    </row>
    <row r="221" spans="1:11" s="51" customFormat="1" ht="21.75" customHeight="1">
      <c r="A221" s="147"/>
      <c r="B221" s="165"/>
      <c r="C221" s="169">
        <v>4430</v>
      </c>
      <c r="D221" s="91" t="s">
        <v>112</v>
      </c>
      <c r="E221" s="163">
        <v>700</v>
      </c>
      <c r="F221" s="168"/>
      <c r="G221" s="168"/>
      <c r="H221" s="175">
        <f t="shared" si="6"/>
        <v>700</v>
      </c>
      <c r="I221" s="271"/>
      <c r="K221" s="244"/>
    </row>
    <row r="222" spans="1:11" s="51" customFormat="1" ht="21.75" customHeight="1">
      <c r="A222" s="147"/>
      <c r="B222" s="165"/>
      <c r="C222" s="169">
        <v>4440</v>
      </c>
      <c r="D222" s="91" t="s">
        <v>106</v>
      </c>
      <c r="E222" s="163">
        <f>720+11940</f>
        <v>12660</v>
      </c>
      <c r="F222" s="168"/>
      <c r="G222" s="168"/>
      <c r="H222" s="175">
        <f aca="true" t="shared" si="7" ref="H222:H290">SUM(E222+F222-G222)</f>
        <v>12660</v>
      </c>
      <c r="I222" s="271"/>
      <c r="K222" s="244"/>
    </row>
    <row r="223" spans="1:11" s="51" customFormat="1" ht="21.75" customHeight="1">
      <c r="A223" s="147"/>
      <c r="B223" s="165">
        <v>85228</v>
      </c>
      <c r="C223" s="169"/>
      <c r="D223" s="91" t="s">
        <v>145</v>
      </c>
      <c r="E223" s="163">
        <f>SUM(E224)</f>
        <v>140000</v>
      </c>
      <c r="F223" s="163">
        <f>SUM(F224)</f>
        <v>0</v>
      </c>
      <c r="G223" s="163">
        <f>SUM(G224)</f>
        <v>0</v>
      </c>
      <c r="H223" s="163">
        <f>SUM(H224)</f>
        <v>140000</v>
      </c>
      <c r="I223" s="280"/>
      <c r="K223" s="244"/>
    </row>
    <row r="224" spans="1:11" s="51" customFormat="1" ht="21.75" customHeight="1">
      <c r="A224" s="147"/>
      <c r="B224" s="165"/>
      <c r="C224" s="169">
        <v>4300</v>
      </c>
      <c r="D224" s="91" t="s">
        <v>97</v>
      </c>
      <c r="E224" s="163">
        <v>140000</v>
      </c>
      <c r="F224" s="168"/>
      <c r="G224" s="168"/>
      <c r="H224" s="175">
        <f t="shared" si="7"/>
        <v>140000</v>
      </c>
      <c r="I224" s="271"/>
      <c r="K224" s="244"/>
    </row>
    <row r="225" spans="1:11" s="51" customFormat="1" ht="21.75" customHeight="1">
      <c r="A225" s="147"/>
      <c r="B225" s="165" t="s">
        <v>228</v>
      </c>
      <c r="C225" s="169"/>
      <c r="D225" s="91" t="s">
        <v>6</v>
      </c>
      <c r="E225" s="163">
        <f>SUM(E226:E226)</f>
        <v>5520</v>
      </c>
      <c r="F225" s="163">
        <f>SUM(F226:F226)</f>
        <v>0</v>
      </c>
      <c r="G225" s="163">
        <f>SUM(G226:G226)</f>
        <v>0</v>
      </c>
      <c r="H225" s="163">
        <f>SUM(H226:H226)</f>
        <v>5520</v>
      </c>
      <c r="I225" s="280"/>
      <c r="K225" s="244"/>
    </row>
    <row r="226" spans="1:11" s="51" customFormat="1" ht="21.75" customHeight="1">
      <c r="A226" s="147"/>
      <c r="B226" s="165"/>
      <c r="C226" s="169">
        <v>4430</v>
      </c>
      <c r="D226" s="91" t="s">
        <v>112</v>
      </c>
      <c r="E226" s="163">
        <v>5520</v>
      </c>
      <c r="F226" s="168"/>
      <c r="G226" s="168"/>
      <c r="H226" s="175">
        <f t="shared" si="7"/>
        <v>5520</v>
      </c>
      <c r="I226" s="271"/>
      <c r="K226" s="244"/>
    </row>
    <row r="227" spans="1:11" s="10" customFormat="1" ht="21.75" customHeight="1">
      <c r="A227" s="86" t="s">
        <v>146</v>
      </c>
      <c r="B227" s="87"/>
      <c r="C227" s="88"/>
      <c r="D227" s="89" t="s">
        <v>74</v>
      </c>
      <c r="E227" s="90">
        <f>SUM(E228,E240,E243,E248,E245)</f>
        <v>1009976</v>
      </c>
      <c r="F227" s="90">
        <f>SUM(F228,F240,F243,F248,F245)</f>
        <v>22713</v>
      </c>
      <c r="G227" s="90">
        <f>SUM(G228,G240,G243,G248,G245)</f>
        <v>65272</v>
      </c>
      <c r="H227" s="90">
        <f>SUM(H228,H240,H243,H248,H245)</f>
        <v>967417</v>
      </c>
      <c r="I227" s="303"/>
      <c r="K227" s="69"/>
    </row>
    <row r="228" spans="1:11" s="51" customFormat="1" ht="21.75" customHeight="1">
      <c r="A228" s="147"/>
      <c r="B228" s="165">
        <v>85401</v>
      </c>
      <c r="C228" s="169"/>
      <c r="D228" s="91" t="s">
        <v>75</v>
      </c>
      <c r="E228" s="163">
        <f>SUM(E229:E239)</f>
        <v>709547</v>
      </c>
      <c r="F228" s="163">
        <f>SUM(F229:F239)</f>
        <v>21000</v>
      </c>
      <c r="G228" s="163">
        <f>SUM(G229:G239)</f>
        <v>63559</v>
      </c>
      <c r="H228" s="163">
        <f>SUM(H229:H239)</f>
        <v>666988</v>
      </c>
      <c r="I228" s="280"/>
      <c r="K228" s="244"/>
    </row>
    <row r="229" spans="1:11" s="51" customFormat="1" ht="21.75" customHeight="1">
      <c r="A229" s="147"/>
      <c r="B229" s="165"/>
      <c r="C229" s="169">
        <v>3020</v>
      </c>
      <c r="D229" s="91" t="s">
        <v>311</v>
      </c>
      <c r="E229" s="163">
        <v>10582</v>
      </c>
      <c r="F229" s="168"/>
      <c r="G229" s="168">
        <v>200</v>
      </c>
      <c r="H229" s="175">
        <f t="shared" si="7"/>
        <v>10382</v>
      </c>
      <c r="I229" s="271"/>
      <c r="K229" s="244"/>
    </row>
    <row r="230" spans="1:11" s="51" customFormat="1" ht="21.75" customHeight="1">
      <c r="A230" s="147"/>
      <c r="B230" s="165"/>
      <c r="C230" s="169">
        <v>4010</v>
      </c>
      <c r="D230" s="91" t="s">
        <v>102</v>
      </c>
      <c r="E230" s="163">
        <v>425003</v>
      </c>
      <c r="F230" s="168"/>
      <c r="G230" s="168">
        <f>30000+1838+1269</f>
        <v>33107</v>
      </c>
      <c r="H230" s="175">
        <f t="shared" si="7"/>
        <v>391896</v>
      </c>
      <c r="I230" s="271"/>
      <c r="K230" s="244"/>
    </row>
    <row r="231" spans="1:11" s="51" customFormat="1" ht="21.75" customHeight="1">
      <c r="A231" s="147"/>
      <c r="B231" s="165"/>
      <c r="C231" s="169">
        <v>4040</v>
      </c>
      <c r="D231" s="91" t="s">
        <v>103</v>
      </c>
      <c r="E231" s="163">
        <v>31856</v>
      </c>
      <c r="F231" s="168"/>
      <c r="G231" s="168">
        <f>1845+1386</f>
        <v>3231</v>
      </c>
      <c r="H231" s="175">
        <f t="shared" si="7"/>
        <v>28625</v>
      </c>
      <c r="I231" s="271"/>
      <c r="K231" s="244"/>
    </row>
    <row r="232" spans="1:11" s="51" customFormat="1" ht="21.75" customHeight="1">
      <c r="A232" s="147"/>
      <c r="B232" s="165"/>
      <c r="C232" s="169">
        <v>4110</v>
      </c>
      <c r="D232" s="91" t="s">
        <v>104</v>
      </c>
      <c r="E232" s="163">
        <v>86156</v>
      </c>
      <c r="F232" s="168"/>
      <c r="G232" s="168">
        <f>331+2000</f>
        <v>2331</v>
      </c>
      <c r="H232" s="175">
        <f t="shared" si="7"/>
        <v>83825</v>
      </c>
      <c r="I232" s="271"/>
      <c r="K232" s="244"/>
    </row>
    <row r="233" spans="1:11" s="51" customFormat="1" ht="21.75" customHeight="1">
      <c r="A233" s="147"/>
      <c r="B233" s="165"/>
      <c r="C233" s="169">
        <v>4120</v>
      </c>
      <c r="D233" s="91" t="s">
        <v>105</v>
      </c>
      <c r="E233" s="163">
        <v>11739</v>
      </c>
      <c r="F233" s="168"/>
      <c r="G233" s="168">
        <v>45</v>
      </c>
      <c r="H233" s="175">
        <f t="shared" si="7"/>
        <v>11694</v>
      </c>
      <c r="I233" s="271"/>
      <c r="K233" s="244"/>
    </row>
    <row r="234" spans="1:11" s="51" customFormat="1" ht="21.75" customHeight="1">
      <c r="A234" s="147"/>
      <c r="B234" s="165"/>
      <c r="C234" s="169">
        <v>4170</v>
      </c>
      <c r="D234" s="91" t="s">
        <v>340</v>
      </c>
      <c r="E234" s="163">
        <v>0</v>
      </c>
      <c r="F234" s="168">
        <v>21000</v>
      </c>
      <c r="G234" s="168"/>
      <c r="H234" s="175">
        <f t="shared" si="7"/>
        <v>21000</v>
      </c>
      <c r="I234" s="271"/>
      <c r="K234" s="244"/>
    </row>
    <row r="235" spans="1:11" s="51" customFormat="1" ht="21.75" customHeight="1">
      <c r="A235" s="147"/>
      <c r="B235" s="165"/>
      <c r="C235" s="169">
        <v>4210</v>
      </c>
      <c r="D235" s="91" t="s">
        <v>110</v>
      </c>
      <c r="E235" s="163">
        <v>9655</v>
      </c>
      <c r="F235" s="168"/>
      <c r="G235" s="168">
        <f>445+400</f>
        <v>845</v>
      </c>
      <c r="H235" s="175">
        <f t="shared" si="7"/>
        <v>8810</v>
      </c>
      <c r="I235" s="271"/>
      <c r="K235" s="244"/>
    </row>
    <row r="236" spans="1:11" s="51" customFormat="1" ht="21.75" customHeight="1">
      <c r="A236" s="147"/>
      <c r="B236" s="165"/>
      <c r="C236" s="169">
        <v>4220</v>
      </c>
      <c r="D236" s="91" t="s">
        <v>258</v>
      </c>
      <c r="E236" s="163">
        <v>86200</v>
      </c>
      <c r="F236" s="168"/>
      <c r="G236" s="168">
        <v>2800</v>
      </c>
      <c r="H236" s="175">
        <f t="shared" si="7"/>
        <v>83400</v>
      </c>
      <c r="I236" s="271"/>
      <c r="K236" s="244"/>
    </row>
    <row r="237" spans="1:11" s="51" customFormat="1" ht="21.75" customHeight="1">
      <c r="A237" s="147"/>
      <c r="B237" s="165"/>
      <c r="C237" s="169">
        <v>4230</v>
      </c>
      <c r="D237" s="91" t="s">
        <v>136</v>
      </c>
      <c r="E237" s="163">
        <v>100</v>
      </c>
      <c r="F237" s="168"/>
      <c r="G237" s="168"/>
      <c r="H237" s="175">
        <f t="shared" si="7"/>
        <v>100</v>
      </c>
      <c r="I237" s="271"/>
      <c r="K237" s="244"/>
    </row>
    <row r="238" spans="1:11" s="51" customFormat="1" ht="21.75" customHeight="1">
      <c r="A238" s="147"/>
      <c r="B238" s="165"/>
      <c r="C238" s="169">
        <v>4300</v>
      </c>
      <c r="D238" s="91" t="s">
        <v>97</v>
      </c>
      <c r="E238" s="163">
        <v>22600</v>
      </c>
      <c r="F238" s="168"/>
      <c r="G238" s="168">
        <v>21000</v>
      </c>
      <c r="H238" s="175">
        <f t="shared" si="7"/>
        <v>1600</v>
      </c>
      <c r="I238" s="271"/>
      <c r="K238" s="244"/>
    </row>
    <row r="239" spans="1:11" s="51" customFormat="1" ht="21.75" customHeight="1">
      <c r="A239" s="147"/>
      <c r="B239" s="165"/>
      <c r="C239" s="169">
        <v>4440</v>
      </c>
      <c r="D239" s="91" t="s">
        <v>106</v>
      </c>
      <c r="E239" s="163">
        <v>25656</v>
      </c>
      <c r="F239" s="168"/>
      <c r="G239" s="168"/>
      <c r="H239" s="175">
        <f t="shared" si="7"/>
        <v>25656</v>
      </c>
      <c r="I239" s="271"/>
      <c r="K239" s="244"/>
    </row>
    <row r="240" spans="1:11" s="51" customFormat="1" ht="33" customHeight="1">
      <c r="A240" s="147"/>
      <c r="B240" s="165" t="s">
        <v>150</v>
      </c>
      <c r="C240" s="169"/>
      <c r="D240" s="91" t="s">
        <v>229</v>
      </c>
      <c r="E240" s="163">
        <f>SUM(E241:E242)</f>
        <v>46000</v>
      </c>
      <c r="F240" s="163">
        <f>SUM(F241:F242)</f>
        <v>0</v>
      </c>
      <c r="G240" s="163">
        <f>SUM(G241:G242)</f>
        <v>0</v>
      </c>
      <c r="H240" s="163">
        <f>SUM(H241:H242)</f>
        <v>46000</v>
      </c>
      <c r="I240" s="280"/>
      <c r="K240" s="244"/>
    </row>
    <row r="241" spans="1:11" s="51" customFormat="1" ht="21.75" customHeight="1">
      <c r="A241" s="147"/>
      <c r="B241" s="165"/>
      <c r="C241" s="169">
        <v>4210</v>
      </c>
      <c r="D241" s="91" t="s">
        <v>110</v>
      </c>
      <c r="E241" s="163">
        <v>11000</v>
      </c>
      <c r="F241" s="168"/>
      <c r="G241" s="168"/>
      <c r="H241" s="175">
        <f t="shared" si="7"/>
        <v>11000</v>
      </c>
      <c r="I241" s="271"/>
      <c r="K241" s="244"/>
    </row>
    <row r="242" spans="1:11" s="51" customFormat="1" ht="21.75" customHeight="1">
      <c r="A242" s="169"/>
      <c r="B242" s="170"/>
      <c r="C242" s="169">
        <v>4300</v>
      </c>
      <c r="D242" s="91" t="s">
        <v>97</v>
      </c>
      <c r="E242" s="163">
        <f>1000+34000</f>
        <v>35000</v>
      </c>
      <c r="F242" s="168"/>
      <c r="G242" s="168"/>
      <c r="H242" s="175">
        <f t="shared" si="7"/>
        <v>35000</v>
      </c>
      <c r="I242" s="271"/>
      <c r="K242" s="244"/>
    </row>
    <row r="243" spans="1:11" s="51" customFormat="1" ht="21.75" customHeight="1">
      <c r="A243" s="169"/>
      <c r="B243" s="170">
        <v>85415</v>
      </c>
      <c r="C243" s="169"/>
      <c r="D243" s="91" t="s">
        <v>230</v>
      </c>
      <c r="E243" s="163">
        <f>SUM(E244)</f>
        <v>22870</v>
      </c>
      <c r="F243" s="163">
        <f>SUM(F244)</f>
        <v>0</v>
      </c>
      <c r="G243" s="163">
        <f>SUM(G244)</f>
        <v>0</v>
      </c>
      <c r="H243" s="163">
        <f>SUM(H244)</f>
        <v>22870</v>
      </c>
      <c r="I243" s="280"/>
      <c r="K243" s="244"/>
    </row>
    <row r="244" spans="1:11" s="51" customFormat="1" ht="21.75" customHeight="1">
      <c r="A244" s="169"/>
      <c r="B244" s="170"/>
      <c r="C244" s="169">
        <v>3240</v>
      </c>
      <c r="D244" s="91" t="s">
        <v>312</v>
      </c>
      <c r="E244" s="163">
        <v>22870</v>
      </c>
      <c r="F244" s="168"/>
      <c r="G244" s="168"/>
      <c r="H244" s="175">
        <f t="shared" si="7"/>
        <v>22870</v>
      </c>
      <c r="I244" s="271"/>
      <c r="K244" s="244"/>
    </row>
    <row r="245" spans="1:11" s="51" customFormat="1" ht="21.75" customHeight="1">
      <c r="A245" s="169"/>
      <c r="B245" s="170">
        <v>85446</v>
      </c>
      <c r="C245" s="169"/>
      <c r="D245" s="91" t="s">
        <v>212</v>
      </c>
      <c r="E245" s="163">
        <f>SUM(E246:E247)</f>
        <v>3338</v>
      </c>
      <c r="F245" s="163">
        <f>SUM(F246:F247)</f>
        <v>882</v>
      </c>
      <c r="G245" s="163">
        <f>SUM(G246:G247)</f>
        <v>882</v>
      </c>
      <c r="H245" s="163">
        <f>SUM(H246:H247)</f>
        <v>3338</v>
      </c>
      <c r="I245" s="280"/>
      <c r="K245" s="244"/>
    </row>
    <row r="246" spans="1:11" s="51" customFormat="1" ht="21.75" customHeight="1">
      <c r="A246" s="169"/>
      <c r="B246" s="170"/>
      <c r="C246" s="169">
        <v>4300</v>
      </c>
      <c r="D246" s="91" t="s">
        <v>97</v>
      </c>
      <c r="E246" s="163">
        <v>3338</v>
      </c>
      <c r="F246" s="168"/>
      <c r="G246" s="168">
        <v>882</v>
      </c>
      <c r="H246" s="175">
        <f t="shared" si="7"/>
        <v>2456</v>
      </c>
      <c r="I246" s="271"/>
      <c r="K246" s="244"/>
    </row>
    <row r="247" spans="1:11" s="51" customFormat="1" ht="21.75" customHeight="1">
      <c r="A247" s="169"/>
      <c r="B247" s="170"/>
      <c r="C247" s="169">
        <v>4410</v>
      </c>
      <c r="D247" s="91" t="s">
        <v>108</v>
      </c>
      <c r="E247" s="163">
        <v>0</v>
      </c>
      <c r="F247" s="168">
        <v>882</v>
      </c>
      <c r="G247" s="168"/>
      <c r="H247" s="175">
        <f t="shared" si="7"/>
        <v>882</v>
      </c>
      <c r="I247" s="271"/>
      <c r="K247" s="244"/>
    </row>
    <row r="248" spans="1:11" s="51" customFormat="1" ht="21.75" customHeight="1">
      <c r="A248" s="169"/>
      <c r="B248" s="170">
        <v>85495</v>
      </c>
      <c r="C248" s="169"/>
      <c r="D248" s="91" t="s">
        <v>6</v>
      </c>
      <c r="E248" s="163">
        <f>SUM(E249:E251)</f>
        <v>228221</v>
      </c>
      <c r="F248" s="163">
        <f>SUM(F249:F251)</f>
        <v>831</v>
      </c>
      <c r="G248" s="163">
        <f>SUM(G249:G251)</f>
        <v>831</v>
      </c>
      <c r="H248" s="163">
        <f>SUM(H249:H251)</f>
        <v>228221</v>
      </c>
      <c r="I248" s="280"/>
      <c r="K248" s="244"/>
    </row>
    <row r="249" spans="1:11" s="51" customFormat="1" ht="48" customHeight="1">
      <c r="A249" s="169"/>
      <c r="B249" s="170"/>
      <c r="C249" s="169">
        <v>2320</v>
      </c>
      <c r="D249" s="91" t="s">
        <v>215</v>
      </c>
      <c r="E249" s="163">
        <v>200000</v>
      </c>
      <c r="F249" s="168"/>
      <c r="G249" s="168"/>
      <c r="H249" s="175">
        <f t="shared" si="7"/>
        <v>200000</v>
      </c>
      <c r="I249" s="271"/>
      <c r="K249" s="244"/>
    </row>
    <row r="250" spans="1:11" s="51" customFormat="1" ht="49.5" customHeight="1">
      <c r="A250" s="169"/>
      <c r="B250" s="170"/>
      <c r="C250" s="147">
        <v>2320</v>
      </c>
      <c r="D250" s="91" t="s">
        <v>220</v>
      </c>
      <c r="E250" s="163">
        <v>27390</v>
      </c>
      <c r="F250" s="168">
        <v>831</v>
      </c>
      <c r="G250" s="168"/>
      <c r="H250" s="175">
        <f t="shared" si="7"/>
        <v>28221</v>
      </c>
      <c r="I250" s="271"/>
      <c r="K250" s="244"/>
    </row>
    <row r="251" spans="1:11" s="51" customFormat="1" ht="21.75" customHeight="1">
      <c r="A251" s="169"/>
      <c r="B251" s="170"/>
      <c r="C251" s="147">
        <v>4810</v>
      </c>
      <c r="D251" s="91" t="s">
        <v>219</v>
      </c>
      <c r="E251" s="163">
        <v>831</v>
      </c>
      <c r="F251" s="168"/>
      <c r="G251" s="168">
        <v>831</v>
      </c>
      <c r="H251" s="175">
        <f t="shared" si="7"/>
        <v>0</v>
      </c>
      <c r="I251" s="271"/>
      <c r="K251" s="244"/>
    </row>
    <row r="252" spans="1:11" s="8" customFormat="1" ht="27.75" customHeight="1">
      <c r="A252" s="86" t="s">
        <v>152</v>
      </c>
      <c r="B252" s="87"/>
      <c r="C252" s="88"/>
      <c r="D252" s="89" t="s">
        <v>76</v>
      </c>
      <c r="E252" s="290">
        <f>SUM(E253,E259,E262,E266,E268,E270,E275,)</f>
        <v>18857645</v>
      </c>
      <c r="F252" s="290">
        <f>SUM(F253,F259,F262,F266,F268,F270,F275,)</f>
        <v>18407102</v>
      </c>
      <c r="G252" s="290">
        <f>SUM(G253,G259,G262,G266,G268,G270,G275,)</f>
        <v>17400000</v>
      </c>
      <c r="H252" s="290">
        <f>SUM(H253,H259,H262,H266,H268,H270,H275,)</f>
        <v>19864747</v>
      </c>
      <c r="I252" s="305"/>
      <c r="K252" s="278"/>
    </row>
    <row r="253" spans="1:11" s="51" customFormat="1" ht="21.75" customHeight="1">
      <c r="A253" s="147"/>
      <c r="B253" s="165" t="s">
        <v>153</v>
      </c>
      <c r="C253" s="169"/>
      <c r="D253" s="91" t="s">
        <v>77</v>
      </c>
      <c r="E253" s="163">
        <f>SUM(E254:E258)</f>
        <v>17440000</v>
      </c>
      <c r="F253" s="163">
        <f>SUM(F254:F258)</f>
        <v>18394702</v>
      </c>
      <c r="G253" s="163">
        <f>SUM(G254:G258)</f>
        <v>17400000</v>
      </c>
      <c r="H253" s="163">
        <f>SUM(H254:H258)</f>
        <v>18434702</v>
      </c>
      <c r="I253" s="280"/>
      <c r="K253" s="244"/>
    </row>
    <row r="254" spans="1:11" s="51" customFormat="1" ht="21.75" customHeight="1">
      <c r="A254" s="147"/>
      <c r="B254" s="165"/>
      <c r="C254" s="147">
        <v>4300</v>
      </c>
      <c r="D254" s="91" t="s">
        <v>97</v>
      </c>
      <c r="E254" s="163">
        <v>40000</v>
      </c>
      <c r="F254" s="168">
        <v>50000</v>
      </c>
      <c r="G254" s="168"/>
      <c r="H254" s="175">
        <f t="shared" si="7"/>
        <v>90000</v>
      </c>
      <c r="I254" s="271"/>
      <c r="K254" s="244"/>
    </row>
    <row r="255" spans="1:11" s="51" customFormat="1" ht="21.75" customHeight="1" hidden="1">
      <c r="A255" s="147"/>
      <c r="B255" s="165"/>
      <c r="C255" s="147">
        <v>6052</v>
      </c>
      <c r="D255" s="91" t="s">
        <v>91</v>
      </c>
      <c r="E255" s="163">
        <f>5000000+12400000</f>
        <v>17400000</v>
      </c>
      <c r="F255" s="168"/>
      <c r="G255" s="168">
        <v>17400000</v>
      </c>
      <c r="H255" s="175">
        <f t="shared" si="7"/>
        <v>0</v>
      </c>
      <c r="I255" s="271"/>
      <c r="J255" s="244"/>
      <c r="K255" s="244"/>
    </row>
    <row r="256" spans="1:11" s="51" customFormat="1" ht="21.75" customHeight="1">
      <c r="A256" s="147"/>
      <c r="B256" s="165"/>
      <c r="C256" s="147">
        <v>6059</v>
      </c>
      <c r="D256" s="91" t="s">
        <v>91</v>
      </c>
      <c r="E256" s="163">
        <v>0</v>
      </c>
      <c r="F256" s="168">
        <v>1200014</v>
      </c>
      <c r="G256" s="168"/>
      <c r="H256" s="175">
        <f t="shared" si="7"/>
        <v>1200014</v>
      </c>
      <c r="I256" s="271"/>
      <c r="J256" s="244"/>
      <c r="K256" s="244"/>
    </row>
    <row r="257" spans="1:11" s="51" customFormat="1" ht="21.75" customHeight="1">
      <c r="A257" s="147"/>
      <c r="B257" s="165"/>
      <c r="C257" s="147">
        <v>6058</v>
      </c>
      <c r="D257" s="91" t="s">
        <v>91</v>
      </c>
      <c r="E257" s="163">
        <v>0</v>
      </c>
      <c r="F257" s="168">
        <v>3800000</v>
      </c>
      <c r="G257" s="168"/>
      <c r="H257" s="175">
        <f t="shared" si="7"/>
        <v>3800000</v>
      </c>
      <c r="I257" s="271"/>
      <c r="J257" s="244"/>
      <c r="K257" s="244"/>
    </row>
    <row r="258" spans="1:11" s="51" customFormat="1" ht="21.75" customHeight="1">
      <c r="A258" s="147"/>
      <c r="B258" s="165"/>
      <c r="C258" s="147">
        <v>6058</v>
      </c>
      <c r="D258" s="91" t="s">
        <v>91</v>
      </c>
      <c r="E258" s="163">
        <v>0</v>
      </c>
      <c r="F258" s="168">
        <v>13344688</v>
      </c>
      <c r="G258" s="168"/>
      <c r="H258" s="175">
        <f t="shared" si="7"/>
        <v>13344688</v>
      </c>
      <c r="I258" s="271"/>
      <c r="J258" s="244"/>
      <c r="K258" s="244"/>
    </row>
    <row r="259" spans="1:11" s="51" customFormat="1" ht="21.75" customHeight="1">
      <c r="A259" s="147"/>
      <c r="B259" s="165" t="s">
        <v>154</v>
      </c>
      <c r="C259" s="169"/>
      <c r="D259" s="91" t="s">
        <v>155</v>
      </c>
      <c r="E259" s="163">
        <f>SUM(E260:E261)</f>
        <v>602673</v>
      </c>
      <c r="F259" s="163">
        <f>SUM(F260:F261)</f>
        <v>0</v>
      </c>
      <c r="G259" s="163">
        <f>SUM(G260:G261)</f>
        <v>0</v>
      </c>
      <c r="H259" s="163">
        <f>SUM(H260:H261)</f>
        <v>602673</v>
      </c>
      <c r="I259" s="280"/>
      <c r="K259" s="244"/>
    </row>
    <row r="260" spans="1:11" s="51" customFormat="1" ht="21.75" customHeight="1">
      <c r="A260" s="147"/>
      <c r="B260" s="165"/>
      <c r="C260" s="169">
        <v>4210</v>
      </c>
      <c r="D260" s="91" t="s">
        <v>110</v>
      </c>
      <c r="E260" s="163">
        <v>750</v>
      </c>
      <c r="F260" s="168"/>
      <c r="G260" s="168"/>
      <c r="H260" s="175">
        <f t="shared" si="7"/>
        <v>750</v>
      </c>
      <c r="I260" s="271"/>
      <c r="K260" s="244"/>
    </row>
    <row r="261" spans="1:11" s="51" customFormat="1" ht="21.75" customHeight="1">
      <c r="A261" s="147"/>
      <c r="B261" s="165"/>
      <c r="C261" s="169">
        <v>4300</v>
      </c>
      <c r="D261" s="173" t="s">
        <v>97</v>
      </c>
      <c r="E261" s="163">
        <f>10750+591173+54438-54438</f>
        <v>601923</v>
      </c>
      <c r="F261" s="168"/>
      <c r="G261" s="168"/>
      <c r="H261" s="175">
        <f t="shared" si="7"/>
        <v>601923</v>
      </c>
      <c r="I261" s="271"/>
      <c r="K261" s="244"/>
    </row>
    <row r="262" spans="1:11" s="51" customFormat="1" ht="21.75" customHeight="1">
      <c r="A262" s="147"/>
      <c r="B262" s="165" t="s">
        <v>156</v>
      </c>
      <c r="C262" s="169"/>
      <c r="D262" s="91" t="s">
        <v>217</v>
      </c>
      <c r="E262" s="163">
        <f>SUM(E263:E265)</f>
        <v>137126</v>
      </c>
      <c r="F262" s="163">
        <f>SUM(F263:F265)</f>
        <v>0</v>
      </c>
      <c r="G262" s="163">
        <f>SUM(G263:G265)</f>
        <v>0</v>
      </c>
      <c r="H262" s="163">
        <f>SUM(H263:H265)</f>
        <v>137126</v>
      </c>
      <c r="I262" s="280"/>
      <c r="K262" s="244"/>
    </row>
    <row r="263" spans="1:11" s="51" customFormat="1" ht="21.75" customHeight="1">
      <c r="A263" s="147"/>
      <c r="B263" s="165"/>
      <c r="C263" s="147">
        <v>4210</v>
      </c>
      <c r="D263" s="91" t="s">
        <v>110</v>
      </c>
      <c r="E263" s="163">
        <f>26496+16000-2000-7000</f>
        <v>33496</v>
      </c>
      <c r="F263" s="168"/>
      <c r="G263" s="168"/>
      <c r="H263" s="175">
        <f t="shared" si="7"/>
        <v>33496</v>
      </c>
      <c r="I263" s="271"/>
      <c r="K263" s="244"/>
    </row>
    <row r="264" spans="1:11" s="51" customFormat="1" ht="21.75" customHeight="1">
      <c r="A264" s="147"/>
      <c r="B264" s="165"/>
      <c r="C264" s="147">
        <v>4270</v>
      </c>
      <c r="D264" s="91" t="s">
        <v>96</v>
      </c>
      <c r="E264" s="163">
        <v>3000</v>
      </c>
      <c r="F264" s="168"/>
      <c r="G264" s="168"/>
      <c r="H264" s="175">
        <f t="shared" si="7"/>
        <v>3000</v>
      </c>
      <c r="I264" s="271"/>
      <c r="K264" s="244"/>
    </row>
    <row r="265" spans="1:11" s="51" customFormat="1" ht="21.75" customHeight="1">
      <c r="A265" s="147"/>
      <c r="B265" s="165"/>
      <c r="C265" s="147">
        <v>4300</v>
      </c>
      <c r="D265" s="91" t="s">
        <v>97</v>
      </c>
      <c r="E265" s="163">
        <f>5100+118530-3000+4143-20000-4143</f>
        <v>100630</v>
      </c>
      <c r="F265" s="168"/>
      <c r="G265" s="168"/>
      <c r="H265" s="175">
        <f t="shared" si="7"/>
        <v>100630</v>
      </c>
      <c r="I265" s="271"/>
      <c r="K265" s="244"/>
    </row>
    <row r="266" spans="1:11" s="51" customFormat="1" ht="21.75" customHeight="1">
      <c r="A266" s="147"/>
      <c r="B266" s="165" t="s">
        <v>157</v>
      </c>
      <c r="C266" s="169"/>
      <c r="D266" s="91" t="s">
        <v>158</v>
      </c>
      <c r="E266" s="163">
        <f>SUM(E267:E267)</f>
        <v>7000</v>
      </c>
      <c r="F266" s="163">
        <f>SUM(F267:F267)</f>
        <v>0</v>
      </c>
      <c r="G266" s="163">
        <f>SUM(G267:G267)</f>
        <v>0</v>
      </c>
      <c r="H266" s="163">
        <f>SUM(H267:H267)</f>
        <v>7000</v>
      </c>
      <c r="I266" s="280"/>
      <c r="K266" s="244"/>
    </row>
    <row r="267" spans="1:11" s="51" customFormat="1" ht="21.75" customHeight="1">
      <c r="A267" s="147"/>
      <c r="B267" s="165"/>
      <c r="C267" s="169">
        <v>4520</v>
      </c>
      <c r="D267" s="91" t="s">
        <v>159</v>
      </c>
      <c r="E267" s="163">
        <v>7000</v>
      </c>
      <c r="F267" s="168"/>
      <c r="G267" s="168"/>
      <c r="H267" s="175">
        <f t="shared" si="7"/>
        <v>7000</v>
      </c>
      <c r="I267" s="271"/>
      <c r="K267" s="244"/>
    </row>
    <row r="268" spans="1:11" s="51" customFormat="1" ht="21.75" customHeight="1">
      <c r="A268" s="147"/>
      <c r="B268" s="165" t="s">
        <v>160</v>
      </c>
      <c r="C268" s="169"/>
      <c r="D268" s="91" t="s">
        <v>161</v>
      </c>
      <c r="E268" s="163">
        <f>SUM(E269)</f>
        <v>71000</v>
      </c>
      <c r="F268" s="163">
        <f>SUM(F269)</f>
        <v>0</v>
      </c>
      <c r="G268" s="163">
        <f>SUM(G269)</f>
        <v>0</v>
      </c>
      <c r="H268" s="163">
        <f>SUM(H269)</f>
        <v>71000</v>
      </c>
      <c r="I268" s="280"/>
      <c r="K268" s="244"/>
    </row>
    <row r="269" spans="1:11" s="51" customFormat="1" ht="21.75" customHeight="1">
      <c r="A269" s="147"/>
      <c r="B269" s="165"/>
      <c r="C269" s="169">
        <v>4300</v>
      </c>
      <c r="D269" s="173" t="s">
        <v>97</v>
      </c>
      <c r="E269" s="163">
        <f>71000</f>
        <v>71000</v>
      </c>
      <c r="F269" s="168"/>
      <c r="G269" s="168"/>
      <c r="H269" s="175">
        <f t="shared" si="7"/>
        <v>71000</v>
      </c>
      <c r="I269" s="271"/>
      <c r="K269" s="244"/>
    </row>
    <row r="270" spans="1:11" s="51" customFormat="1" ht="21.75" customHeight="1">
      <c r="A270" s="147"/>
      <c r="B270" s="165" t="s">
        <v>162</v>
      </c>
      <c r="C270" s="169"/>
      <c r="D270" s="91" t="s">
        <v>163</v>
      </c>
      <c r="E270" s="163">
        <f>SUM(E271:E274)</f>
        <v>555846</v>
      </c>
      <c r="F270" s="163">
        <f>SUM(F271:F274)</f>
        <v>12400</v>
      </c>
      <c r="G270" s="163">
        <f>SUM(G271:G274)</f>
        <v>0</v>
      </c>
      <c r="H270" s="163">
        <f>SUM(H271:H274)</f>
        <v>568246</v>
      </c>
      <c r="I270" s="280"/>
      <c r="K270" s="244"/>
    </row>
    <row r="271" spans="1:11" s="51" customFormat="1" ht="21.75" customHeight="1">
      <c r="A271" s="147"/>
      <c r="B271" s="165"/>
      <c r="C271" s="169">
        <v>4210</v>
      </c>
      <c r="D271" s="91" t="s">
        <v>110</v>
      </c>
      <c r="E271" s="163">
        <v>20000</v>
      </c>
      <c r="F271" s="168"/>
      <c r="G271" s="168"/>
      <c r="H271" s="175">
        <f t="shared" si="7"/>
        <v>20000</v>
      </c>
      <c r="I271" s="271"/>
      <c r="K271" s="244"/>
    </row>
    <row r="272" spans="1:11" s="51" customFormat="1" ht="21.75" customHeight="1">
      <c r="A272" s="147"/>
      <c r="B272" s="170"/>
      <c r="C272" s="147">
        <v>4260</v>
      </c>
      <c r="D272" s="91" t="s">
        <v>113</v>
      </c>
      <c r="E272" s="163">
        <v>400000</v>
      </c>
      <c r="F272" s="168"/>
      <c r="G272" s="168"/>
      <c r="H272" s="175">
        <f t="shared" si="7"/>
        <v>400000</v>
      </c>
      <c r="I272" s="271"/>
      <c r="K272" s="244"/>
    </row>
    <row r="273" spans="1:11" s="51" customFormat="1" ht="21.75" customHeight="1">
      <c r="A273" s="147"/>
      <c r="B273" s="170"/>
      <c r="C273" s="147">
        <v>4270</v>
      </c>
      <c r="D273" s="91" t="s">
        <v>96</v>
      </c>
      <c r="E273" s="163">
        <v>120000</v>
      </c>
      <c r="F273" s="168"/>
      <c r="G273" s="168"/>
      <c r="H273" s="175">
        <f t="shared" si="7"/>
        <v>120000</v>
      </c>
      <c r="I273" s="271"/>
      <c r="K273" s="244"/>
    </row>
    <row r="274" spans="1:11" s="51" customFormat="1" ht="22.5" customHeight="1">
      <c r="A274" s="147"/>
      <c r="B274" s="170"/>
      <c r="C274" s="147">
        <v>6050</v>
      </c>
      <c r="D274" s="91" t="s">
        <v>91</v>
      </c>
      <c r="E274" s="163">
        <v>15846</v>
      </c>
      <c r="F274" s="292">
        <v>12400</v>
      </c>
      <c r="G274" s="292"/>
      <c r="H274" s="292">
        <f t="shared" si="7"/>
        <v>28246</v>
      </c>
      <c r="I274" s="304"/>
      <c r="J274" s="244"/>
      <c r="K274" s="244"/>
    </row>
    <row r="275" spans="1:11" s="51" customFormat="1" ht="21.75" customHeight="1">
      <c r="A275" s="147"/>
      <c r="B275" s="165" t="s">
        <v>164</v>
      </c>
      <c r="C275" s="169"/>
      <c r="D275" s="91" t="s">
        <v>6</v>
      </c>
      <c r="E275" s="163">
        <f>SUM(E276:E279)</f>
        <v>44000</v>
      </c>
      <c r="F275" s="163">
        <f>SUM(F276:F279)</f>
        <v>0</v>
      </c>
      <c r="G275" s="163">
        <f>SUM(G276:G279)</f>
        <v>0</v>
      </c>
      <c r="H275" s="163">
        <f>SUM(H276:H279)</f>
        <v>44000</v>
      </c>
      <c r="I275" s="280"/>
      <c r="K275" s="244"/>
    </row>
    <row r="276" spans="1:11" s="51" customFormat="1" ht="21.75" customHeight="1">
      <c r="A276" s="147"/>
      <c r="B276" s="170"/>
      <c r="C276" s="169">
        <v>4210</v>
      </c>
      <c r="D276" s="91" t="s">
        <v>110</v>
      </c>
      <c r="E276" s="163">
        <f>2100+1000+6000+5000-5000-6000</f>
        <v>3100</v>
      </c>
      <c r="F276" s="168"/>
      <c r="G276" s="168"/>
      <c r="H276" s="175">
        <f t="shared" si="7"/>
        <v>3100</v>
      </c>
      <c r="I276" s="271"/>
      <c r="K276" s="244"/>
    </row>
    <row r="277" spans="1:11" s="51" customFormat="1" ht="21.75" customHeight="1">
      <c r="A277" s="147"/>
      <c r="B277" s="170"/>
      <c r="C277" s="147">
        <v>4260</v>
      </c>
      <c r="D277" s="91" t="s">
        <v>113</v>
      </c>
      <c r="E277" s="163">
        <f>1000+2000</f>
        <v>3000</v>
      </c>
      <c r="F277" s="168"/>
      <c r="G277" s="168"/>
      <c r="H277" s="175">
        <f t="shared" si="7"/>
        <v>3000</v>
      </c>
      <c r="I277" s="271"/>
      <c r="K277" s="244"/>
    </row>
    <row r="278" spans="1:11" s="51" customFormat="1" ht="21.75" customHeight="1">
      <c r="A278" s="147"/>
      <c r="B278" s="170"/>
      <c r="C278" s="147">
        <v>4270</v>
      </c>
      <c r="D278" s="91" t="s">
        <v>96</v>
      </c>
      <c r="E278" s="163">
        <f>5000</f>
        <v>5000</v>
      </c>
      <c r="F278" s="168"/>
      <c r="G278" s="168"/>
      <c r="H278" s="175">
        <f t="shared" si="7"/>
        <v>5000</v>
      </c>
      <c r="I278" s="271"/>
      <c r="K278" s="244"/>
    </row>
    <row r="279" spans="1:11" s="51" customFormat="1" ht="21.75" customHeight="1">
      <c r="A279" s="147"/>
      <c r="B279" s="170"/>
      <c r="C279" s="169">
        <v>4300</v>
      </c>
      <c r="D279" s="173" t="s">
        <v>97</v>
      </c>
      <c r="E279" s="163">
        <f>2400+20000+30500-20000</f>
        <v>32900</v>
      </c>
      <c r="F279" s="168"/>
      <c r="G279" s="168"/>
      <c r="H279" s="175">
        <f t="shared" si="7"/>
        <v>32900</v>
      </c>
      <c r="I279" s="271"/>
      <c r="K279" s="244"/>
    </row>
    <row r="280" spans="1:11" s="8" customFormat="1" ht="21.75" customHeight="1">
      <c r="A280" s="86" t="s">
        <v>79</v>
      </c>
      <c r="B280" s="87"/>
      <c r="C280" s="88"/>
      <c r="D280" s="89" t="s">
        <v>165</v>
      </c>
      <c r="E280" s="90">
        <f>SUM(E281,E287,E289,)</f>
        <v>1590503</v>
      </c>
      <c r="F280" s="90">
        <f>SUM(F281,F287,F289,)</f>
        <v>45000</v>
      </c>
      <c r="G280" s="90">
        <f>SUM(G281,G287,G289,)</f>
        <v>0</v>
      </c>
      <c r="H280" s="90">
        <f>SUM(H281,H287,H289,)</f>
        <v>1635503</v>
      </c>
      <c r="I280" s="303"/>
      <c r="K280" s="278"/>
    </row>
    <row r="281" spans="1:11" s="51" customFormat="1" ht="21.75" customHeight="1">
      <c r="A281" s="147"/>
      <c r="B281" s="165" t="s">
        <v>166</v>
      </c>
      <c r="C281" s="169"/>
      <c r="D281" s="91" t="s">
        <v>216</v>
      </c>
      <c r="E281" s="163">
        <f>SUM(E282:E286)</f>
        <v>446273</v>
      </c>
      <c r="F281" s="163">
        <f>SUM(F282:F286)</f>
        <v>0</v>
      </c>
      <c r="G281" s="163">
        <f>SUM(G282:G286)</f>
        <v>0</v>
      </c>
      <c r="H281" s="163">
        <f>SUM(H282:H286)</f>
        <v>446273</v>
      </c>
      <c r="I281" s="280"/>
      <c r="K281" s="244"/>
    </row>
    <row r="282" spans="1:11" s="51" customFormat="1" ht="21.75" customHeight="1">
      <c r="A282" s="147"/>
      <c r="B282" s="165"/>
      <c r="C282" s="169">
        <v>2480</v>
      </c>
      <c r="D282" s="91" t="s">
        <v>309</v>
      </c>
      <c r="E282" s="163">
        <v>382200</v>
      </c>
      <c r="F282" s="168"/>
      <c r="G282" s="168"/>
      <c r="H282" s="175">
        <f t="shared" si="7"/>
        <v>382200</v>
      </c>
      <c r="I282" s="271"/>
      <c r="K282" s="244"/>
    </row>
    <row r="283" spans="1:11" s="51" customFormat="1" ht="21.75" customHeight="1">
      <c r="A283" s="147"/>
      <c r="B283" s="165"/>
      <c r="C283" s="147">
        <v>4210</v>
      </c>
      <c r="D283" s="91" t="s">
        <v>110</v>
      </c>
      <c r="E283" s="163">
        <v>31358</v>
      </c>
      <c r="F283" s="168"/>
      <c r="G283" s="168"/>
      <c r="H283" s="175">
        <f t="shared" si="7"/>
        <v>31358</v>
      </c>
      <c r="I283" s="271"/>
      <c r="K283" s="244"/>
    </row>
    <row r="284" spans="1:11" s="51" customFormat="1" ht="21.75" customHeight="1">
      <c r="A284" s="147"/>
      <c r="B284" s="165"/>
      <c r="C284" s="147">
        <v>4260</v>
      </c>
      <c r="D284" s="91" t="s">
        <v>113</v>
      </c>
      <c r="E284" s="163">
        <v>10300</v>
      </c>
      <c r="F284" s="168"/>
      <c r="G284" s="168"/>
      <c r="H284" s="175">
        <f t="shared" si="7"/>
        <v>10300</v>
      </c>
      <c r="I284" s="271"/>
      <c r="K284" s="244"/>
    </row>
    <row r="285" spans="1:11" s="51" customFormat="1" ht="21.75" customHeight="1">
      <c r="A285" s="147"/>
      <c r="B285" s="165"/>
      <c r="C285" s="169">
        <v>4300</v>
      </c>
      <c r="D285" s="173" t="s">
        <v>97</v>
      </c>
      <c r="E285" s="163">
        <v>21360</v>
      </c>
      <c r="F285" s="168"/>
      <c r="G285" s="168"/>
      <c r="H285" s="175">
        <f t="shared" si="7"/>
        <v>21360</v>
      </c>
      <c r="I285" s="271"/>
      <c r="K285" s="244"/>
    </row>
    <row r="286" spans="1:11" s="51" customFormat="1" ht="21.75" customHeight="1">
      <c r="A286" s="147"/>
      <c r="B286" s="165"/>
      <c r="C286" s="169">
        <v>4430</v>
      </c>
      <c r="D286" s="173" t="s">
        <v>112</v>
      </c>
      <c r="E286" s="163">
        <v>1055</v>
      </c>
      <c r="F286" s="168"/>
      <c r="G286" s="168"/>
      <c r="H286" s="175">
        <f t="shared" si="7"/>
        <v>1055</v>
      </c>
      <c r="I286" s="271"/>
      <c r="K286" s="244"/>
    </row>
    <row r="287" spans="1:11" s="51" customFormat="1" ht="21.75" customHeight="1">
      <c r="A287" s="147"/>
      <c r="B287" s="165" t="s">
        <v>80</v>
      </c>
      <c r="C287" s="169"/>
      <c r="D287" s="91" t="s">
        <v>81</v>
      </c>
      <c r="E287" s="163">
        <f>SUM(E288)</f>
        <v>798500</v>
      </c>
      <c r="F287" s="163">
        <f>SUM(F288)</f>
        <v>45000</v>
      </c>
      <c r="G287" s="163">
        <f>SUM(G288)</f>
        <v>0</v>
      </c>
      <c r="H287" s="163">
        <f>SUM(H288)</f>
        <v>843500</v>
      </c>
      <c r="I287" s="280"/>
      <c r="K287" s="244"/>
    </row>
    <row r="288" spans="1:11" s="51" customFormat="1" ht="25.5" customHeight="1">
      <c r="A288" s="147"/>
      <c r="B288" s="165"/>
      <c r="C288" s="169">
        <v>2480</v>
      </c>
      <c r="D288" s="91" t="s">
        <v>309</v>
      </c>
      <c r="E288" s="163">
        <f>798500</f>
        <v>798500</v>
      </c>
      <c r="F288" s="168">
        <v>45000</v>
      </c>
      <c r="G288" s="168"/>
      <c r="H288" s="175">
        <f t="shared" si="7"/>
        <v>843500</v>
      </c>
      <c r="I288" s="271"/>
      <c r="K288" s="244"/>
    </row>
    <row r="289" spans="1:11" s="51" customFormat="1" ht="25.5" customHeight="1">
      <c r="A289" s="147"/>
      <c r="B289" s="165" t="s">
        <v>168</v>
      </c>
      <c r="C289" s="169"/>
      <c r="D289" s="91" t="s">
        <v>169</v>
      </c>
      <c r="E289" s="163">
        <f>SUM(E290)</f>
        <v>345730</v>
      </c>
      <c r="F289" s="163">
        <f>SUM(F290)</f>
        <v>0</v>
      </c>
      <c r="G289" s="163">
        <f>SUM(G290)</f>
        <v>0</v>
      </c>
      <c r="H289" s="163">
        <f>SUM(H290)</f>
        <v>345730</v>
      </c>
      <c r="I289" s="280"/>
      <c r="K289" s="244"/>
    </row>
    <row r="290" spans="1:11" s="51" customFormat="1" ht="25.5" customHeight="1">
      <c r="A290" s="147"/>
      <c r="B290" s="165"/>
      <c r="C290" s="169">
        <v>2480</v>
      </c>
      <c r="D290" s="91" t="s">
        <v>309</v>
      </c>
      <c r="E290" s="163">
        <f>343230+2500</f>
        <v>345730</v>
      </c>
      <c r="F290" s="168"/>
      <c r="G290" s="168"/>
      <c r="H290" s="175">
        <f t="shared" si="7"/>
        <v>345730</v>
      </c>
      <c r="I290" s="271"/>
      <c r="K290" s="244"/>
    </row>
    <row r="291" spans="1:11" s="8" customFormat="1" ht="21.75" customHeight="1">
      <c r="A291" s="86" t="s">
        <v>170</v>
      </c>
      <c r="B291" s="87"/>
      <c r="C291" s="88"/>
      <c r="D291" s="89" t="s">
        <v>82</v>
      </c>
      <c r="E291" s="90">
        <f>SUM(E294,E292)</f>
        <v>122640</v>
      </c>
      <c r="F291" s="90">
        <f>SUM(F294,F292)</f>
        <v>109000</v>
      </c>
      <c r="G291" s="90">
        <f>SUM(G294,G292)</f>
        <v>0</v>
      </c>
      <c r="H291" s="90">
        <f>SUM(H294,H292)</f>
        <v>231640</v>
      </c>
      <c r="I291" s="303"/>
      <c r="K291" s="278"/>
    </row>
    <row r="292" spans="1:11" s="51" customFormat="1" ht="21.75" customHeight="1">
      <c r="A292" s="147"/>
      <c r="B292" s="170">
        <v>92604</v>
      </c>
      <c r="C292" s="169"/>
      <c r="D292" s="91" t="s">
        <v>339</v>
      </c>
      <c r="E292" s="163">
        <f>SUM(E293)</f>
        <v>0</v>
      </c>
      <c r="F292" s="163">
        <f>SUM(F293)</f>
        <v>85000</v>
      </c>
      <c r="G292" s="163">
        <f>SUM(G293)</f>
        <v>0</v>
      </c>
      <c r="H292" s="163">
        <f>SUM(H293)</f>
        <v>85000</v>
      </c>
      <c r="I292" s="280"/>
      <c r="K292" s="244"/>
    </row>
    <row r="293" spans="1:11" s="51" customFormat="1" ht="21.75" customHeight="1">
      <c r="A293" s="147"/>
      <c r="B293" s="170"/>
      <c r="C293" s="169">
        <v>4300</v>
      </c>
      <c r="D293" s="173" t="s">
        <v>97</v>
      </c>
      <c r="E293" s="163">
        <v>0</v>
      </c>
      <c r="F293" s="163">
        <v>85000</v>
      </c>
      <c r="G293" s="163"/>
      <c r="H293" s="163">
        <f>SUM(E293+F293-G293)</f>
        <v>85000</v>
      </c>
      <c r="I293" s="280"/>
      <c r="K293" s="244"/>
    </row>
    <row r="294" spans="1:11" s="51" customFormat="1" ht="21.75" customHeight="1">
      <c r="A294" s="169"/>
      <c r="B294" s="172">
        <v>92605</v>
      </c>
      <c r="C294" s="169"/>
      <c r="D294" s="91" t="s">
        <v>83</v>
      </c>
      <c r="E294" s="163">
        <f>SUM(E295:E298)</f>
        <v>122640</v>
      </c>
      <c r="F294" s="163">
        <f>SUM(F295:F298)</f>
        <v>24000</v>
      </c>
      <c r="G294" s="163">
        <f>SUM(G295:G298)</f>
        <v>0</v>
      </c>
      <c r="H294" s="163">
        <f>SUM(H295:H298)</f>
        <v>146640</v>
      </c>
      <c r="I294" s="280"/>
      <c r="K294" s="244"/>
    </row>
    <row r="295" spans="1:11" s="51" customFormat="1" ht="21.75" customHeight="1">
      <c r="A295" s="169"/>
      <c r="B295" s="172"/>
      <c r="C295" s="169">
        <v>4170</v>
      </c>
      <c r="D295" s="91" t="s">
        <v>331</v>
      </c>
      <c r="E295" s="163">
        <v>4500</v>
      </c>
      <c r="F295" s="168"/>
      <c r="G295" s="168"/>
      <c r="H295" s="175">
        <f>SUM(E295+F295-G295)</f>
        <v>4500</v>
      </c>
      <c r="I295" s="271"/>
      <c r="K295" s="244"/>
    </row>
    <row r="296" spans="1:11" s="51" customFormat="1" ht="21.75" customHeight="1">
      <c r="A296" s="169"/>
      <c r="B296" s="165"/>
      <c r="C296" s="147">
        <v>4210</v>
      </c>
      <c r="D296" s="91" t="s">
        <v>110</v>
      </c>
      <c r="E296" s="163">
        <f>11440+500</f>
        <v>11940</v>
      </c>
      <c r="F296" s="168"/>
      <c r="G296" s="168"/>
      <c r="H296" s="175">
        <f>SUM(E296+F296-G296)</f>
        <v>11940</v>
      </c>
      <c r="I296" s="271"/>
      <c r="K296" s="244"/>
    </row>
    <row r="297" spans="1:11" s="51" customFormat="1" ht="21.75" customHeight="1">
      <c r="A297" s="169"/>
      <c r="B297" s="165"/>
      <c r="C297" s="147">
        <v>4260</v>
      </c>
      <c r="D297" s="91" t="s">
        <v>113</v>
      </c>
      <c r="E297" s="163">
        <v>700</v>
      </c>
      <c r="F297" s="168"/>
      <c r="G297" s="168"/>
      <c r="H297" s="175">
        <f>SUM(E297+F297-G297)</f>
        <v>700</v>
      </c>
      <c r="I297" s="271"/>
      <c r="K297" s="244"/>
    </row>
    <row r="298" spans="1:11" s="51" customFormat="1" ht="21.75" customHeight="1">
      <c r="A298" s="169"/>
      <c r="B298" s="165"/>
      <c r="C298" s="169">
        <v>4300</v>
      </c>
      <c r="D298" s="173" t="s">
        <v>97</v>
      </c>
      <c r="E298" s="163">
        <f>1500+4000+100000</f>
        <v>105500</v>
      </c>
      <c r="F298" s="168">
        <v>24000</v>
      </c>
      <c r="G298" s="168"/>
      <c r="H298" s="175">
        <f>SUM(E298+F298-G298)</f>
        <v>129500</v>
      </c>
      <c r="I298" s="271"/>
      <c r="K298" s="244"/>
    </row>
    <row r="299" spans="1:11" s="10" customFormat="1" ht="24.75" customHeight="1">
      <c r="A299" s="134"/>
      <c r="B299" s="134"/>
      <c r="C299" s="134"/>
      <c r="D299" s="88" t="s">
        <v>84</v>
      </c>
      <c r="E299" s="290">
        <f>SUM(E291,E280,E252,E227,E188,E178,E118,E115,E112,E105,E78,E74,E37,E30,E19,E12,E9,)</f>
        <v>55570343</v>
      </c>
      <c r="F299" s="290">
        <f>SUM(F291,F280,F252,F227,F188,F178,F118,F115,F112,F105,F78,F74,F37,F30,F19,F12,F9,)</f>
        <v>19742833</v>
      </c>
      <c r="G299" s="290">
        <f>SUM(G291,G280,G252,G227,G188,G178,G118,G115,G112,G105,G78,G74,G37,G30,G19,G12,G9,)</f>
        <v>19064790</v>
      </c>
      <c r="H299" s="90">
        <f>SUM(H291,H280,H252,H227,H188,H178,H118,H115,H112,H105,H78,H74,H37,H30,H19,H12,H9,)</f>
        <v>56248386</v>
      </c>
      <c r="I299" s="303"/>
      <c r="K299" s="69"/>
    </row>
    <row r="300" spans="5:10" ht="12.75">
      <c r="E300" s="125"/>
      <c r="F300" s="256"/>
      <c r="G300" s="257"/>
      <c r="J300" s="120"/>
    </row>
    <row r="301" spans="5:6" ht="12.75">
      <c r="E301" s="125"/>
      <c r="F301" s="256"/>
    </row>
    <row r="302" spans="1:11" s="46" customFormat="1" ht="12.75">
      <c r="A302" s="49"/>
      <c r="B302" s="49"/>
      <c r="C302" s="49"/>
      <c r="D302" s="49"/>
      <c r="E302" s="48"/>
      <c r="F302" s="236"/>
      <c r="G302" s="257"/>
      <c r="H302" s="249"/>
      <c r="I302" s="249"/>
      <c r="K302" s="249"/>
    </row>
    <row r="303" spans="1:11" s="46" customFormat="1" ht="12.75">
      <c r="A303" s="49"/>
      <c r="B303" s="49"/>
      <c r="C303" s="49"/>
      <c r="D303" s="49"/>
      <c r="E303" s="48"/>
      <c r="F303" s="236"/>
      <c r="G303" s="245"/>
      <c r="H303" s="249"/>
      <c r="I303" s="249"/>
      <c r="K303" s="249"/>
    </row>
    <row r="304" spans="1:11" s="46" customFormat="1" ht="12.75">
      <c r="A304" s="49"/>
      <c r="B304" s="49"/>
      <c r="C304" s="49"/>
      <c r="D304" s="49"/>
      <c r="E304" s="48"/>
      <c r="F304" s="236"/>
      <c r="G304" s="245"/>
      <c r="H304" s="249"/>
      <c r="I304" s="249"/>
      <c r="K304" s="249"/>
    </row>
    <row r="305" spans="1:11" s="46" customFormat="1" ht="12.75">
      <c r="A305" s="49"/>
      <c r="B305" s="49"/>
      <c r="C305" s="49"/>
      <c r="D305" s="49"/>
      <c r="E305" s="48"/>
      <c r="F305" s="236"/>
      <c r="G305" s="245"/>
      <c r="H305" s="249"/>
      <c r="I305" s="249"/>
      <c r="K305" s="249"/>
    </row>
    <row r="306" spans="1:11" s="46" customFormat="1" ht="12.75">
      <c r="A306" s="49"/>
      <c r="B306" s="49"/>
      <c r="C306" s="49"/>
      <c r="D306" s="49"/>
      <c r="E306" s="48"/>
      <c r="F306" s="236"/>
      <c r="G306" s="245"/>
      <c r="H306" s="249"/>
      <c r="I306" s="249"/>
      <c r="K306" s="249"/>
    </row>
    <row r="307" spans="1:11" s="46" customFormat="1" ht="12.75">
      <c r="A307" s="49"/>
      <c r="B307" s="49"/>
      <c r="C307" s="49"/>
      <c r="D307" s="49"/>
      <c r="E307" s="48"/>
      <c r="F307" s="236"/>
      <c r="G307" s="245"/>
      <c r="H307" s="249"/>
      <c r="I307" s="249"/>
      <c r="K307" s="249"/>
    </row>
    <row r="308" spans="1:11" s="46" customFormat="1" ht="12.75">
      <c r="A308" s="49"/>
      <c r="B308" s="49"/>
      <c r="C308" s="49"/>
      <c r="D308" s="49"/>
      <c r="E308" s="48"/>
      <c r="F308" s="236"/>
      <c r="G308" s="245"/>
      <c r="H308" s="249"/>
      <c r="I308" s="249"/>
      <c r="K308" s="249"/>
    </row>
    <row r="309" spans="1:11" s="46" customFormat="1" ht="12.75">
      <c r="A309" s="49"/>
      <c r="B309" s="49"/>
      <c r="C309" s="49"/>
      <c r="D309" s="49"/>
      <c r="E309" s="48"/>
      <c r="F309" s="236"/>
      <c r="G309" s="245"/>
      <c r="H309" s="249"/>
      <c r="I309" s="249"/>
      <c r="K309" s="249"/>
    </row>
    <row r="310" spans="1:11" s="46" customFormat="1" ht="12.75">
      <c r="A310" s="49"/>
      <c r="B310" s="49"/>
      <c r="C310" s="49"/>
      <c r="D310" s="49"/>
      <c r="E310" s="48"/>
      <c r="F310" s="236"/>
      <c r="G310" s="245"/>
      <c r="H310" s="249"/>
      <c r="I310" s="249"/>
      <c r="K310" s="249"/>
    </row>
    <row r="311" spans="1:11" s="46" customFormat="1" ht="12.75">
      <c r="A311" s="49"/>
      <c r="B311" s="49"/>
      <c r="C311" s="49"/>
      <c r="D311" s="49"/>
      <c r="E311" s="48"/>
      <c r="F311" s="236"/>
      <c r="G311" s="245"/>
      <c r="H311" s="249"/>
      <c r="I311" s="249"/>
      <c r="K311" s="249"/>
    </row>
    <row r="312" spans="1:11" s="46" customFormat="1" ht="12.75">
      <c r="A312" s="49"/>
      <c r="B312" s="49"/>
      <c r="C312" s="49"/>
      <c r="D312" s="49"/>
      <c r="E312" s="48"/>
      <c r="F312" s="236"/>
      <c r="G312" s="245"/>
      <c r="H312" s="249"/>
      <c r="I312" s="249"/>
      <c r="K312" s="249"/>
    </row>
    <row r="313" spans="1:11" s="46" customFormat="1" ht="12.75">
      <c r="A313" s="49"/>
      <c r="B313" s="49"/>
      <c r="C313" s="49"/>
      <c r="D313" s="49"/>
      <c r="E313" s="48"/>
      <c r="F313" s="236"/>
      <c r="G313" s="245"/>
      <c r="H313" s="249"/>
      <c r="I313" s="249"/>
      <c r="K313" s="249"/>
    </row>
    <row r="314" spans="1:11" s="46" customFormat="1" ht="12.75">
      <c r="A314" s="49"/>
      <c r="B314" s="49"/>
      <c r="C314" s="49"/>
      <c r="D314" s="49"/>
      <c r="E314" s="48"/>
      <c r="F314" s="236"/>
      <c r="G314" s="245"/>
      <c r="H314" s="249"/>
      <c r="I314" s="249"/>
      <c r="K314" s="249"/>
    </row>
    <row r="315" spans="1:11" s="46" customFormat="1" ht="12.75">
      <c r="A315" s="49"/>
      <c r="B315" s="49"/>
      <c r="C315" s="49"/>
      <c r="D315" s="49"/>
      <c r="E315" s="48"/>
      <c r="F315" s="236"/>
      <c r="G315" s="245"/>
      <c r="H315" s="249"/>
      <c r="I315" s="249"/>
      <c r="K315" s="249"/>
    </row>
    <row r="316" spans="1:11" s="46" customFormat="1" ht="12.75">
      <c r="A316" s="49"/>
      <c r="B316" s="49"/>
      <c r="C316" s="49"/>
      <c r="D316" s="49"/>
      <c r="E316" s="48"/>
      <c r="F316" s="236"/>
      <c r="G316" s="245"/>
      <c r="H316" s="249"/>
      <c r="I316" s="249"/>
      <c r="K316" s="249"/>
    </row>
    <row r="317" spans="1:11" s="46" customFormat="1" ht="12.75">
      <c r="A317" s="49"/>
      <c r="B317" s="49"/>
      <c r="C317" s="49"/>
      <c r="D317" s="49"/>
      <c r="E317" s="48"/>
      <c r="F317" s="236"/>
      <c r="G317" s="245"/>
      <c r="H317" s="249"/>
      <c r="I317" s="249"/>
      <c r="K317" s="249"/>
    </row>
    <row r="318" spans="1:11" s="46" customFormat="1" ht="12.75">
      <c r="A318" s="49"/>
      <c r="B318" s="49"/>
      <c r="C318" s="49"/>
      <c r="D318" s="49"/>
      <c r="E318" s="48"/>
      <c r="F318" s="236"/>
      <c r="G318" s="245"/>
      <c r="H318" s="249"/>
      <c r="I318" s="249"/>
      <c r="K318" s="249"/>
    </row>
    <row r="319" spans="1:11" s="46" customFormat="1" ht="12.75">
      <c r="A319" s="49"/>
      <c r="B319" s="49"/>
      <c r="C319" s="49"/>
      <c r="D319" s="49"/>
      <c r="E319" s="48"/>
      <c r="F319" s="236"/>
      <c r="G319" s="245"/>
      <c r="H319" s="249"/>
      <c r="I319" s="249"/>
      <c r="K319" s="249"/>
    </row>
    <row r="320" spans="1:11" s="46" customFormat="1" ht="12.75">
      <c r="A320" s="49"/>
      <c r="B320" s="49"/>
      <c r="C320" s="49"/>
      <c r="D320" s="49"/>
      <c r="E320" s="48"/>
      <c r="F320" s="236"/>
      <c r="G320" s="245"/>
      <c r="H320" s="249"/>
      <c r="I320" s="249"/>
      <c r="K320" s="249"/>
    </row>
    <row r="321" spans="1:11" s="46" customFormat="1" ht="12.75">
      <c r="A321" s="49"/>
      <c r="B321" s="49"/>
      <c r="C321" s="49"/>
      <c r="D321" s="49"/>
      <c r="E321" s="48"/>
      <c r="F321" s="236"/>
      <c r="G321" s="245"/>
      <c r="H321" s="249"/>
      <c r="I321" s="249"/>
      <c r="K321" s="249"/>
    </row>
    <row r="322" spans="1:11" s="46" customFormat="1" ht="12.75">
      <c r="A322" s="49"/>
      <c r="B322" s="49"/>
      <c r="C322" s="49"/>
      <c r="D322" s="49"/>
      <c r="E322" s="48"/>
      <c r="F322" s="236"/>
      <c r="G322" s="245"/>
      <c r="H322" s="249"/>
      <c r="I322" s="249"/>
      <c r="K322" s="249"/>
    </row>
    <row r="323" spans="1:11" s="46" customFormat="1" ht="12.75">
      <c r="A323" s="49"/>
      <c r="B323" s="49"/>
      <c r="C323" s="49"/>
      <c r="D323" s="49"/>
      <c r="E323" s="48"/>
      <c r="F323" s="236"/>
      <c r="G323" s="245"/>
      <c r="H323" s="249"/>
      <c r="I323" s="249"/>
      <c r="K323" s="249"/>
    </row>
    <row r="324" spans="1:11" s="46" customFormat="1" ht="12.75">
      <c r="A324" s="49"/>
      <c r="B324" s="49"/>
      <c r="C324" s="49"/>
      <c r="D324" s="49"/>
      <c r="E324" s="48"/>
      <c r="F324" s="236"/>
      <c r="G324" s="245"/>
      <c r="H324" s="249"/>
      <c r="I324" s="249"/>
      <c r="K324" s="249"/>
    </row>
    <row r="325" spans="1:11" s="46" customFormat="1" ht="12.75">
      <c r="A325" s="49"/>
      <c r="B325" s="49"/>
      <c r="C325" s="49"/>
      <c r="D325" s="49"/>
      <c r="E325" s="48"/>
      <c r="F325" s="236"/>
      <c r="G325" s="245"/>
      <c r="H325" s="249"/>
      <c r="I325" s="249"/>
      <c r="K325" s="249"/>
    </row>
    <row r="326" spans="1:11" s="46" customFormat="1" ht="12.75">
      <c r="A326" s="49"/>
      <c r="B326" s="49"/>
      <c r="C326" s="49"/>
      <c r="D326" s="49"/>
      <c r="E326" s="48"/>
      <c r="F326" s="236"/>
      <c r="G326" s="245"/>
      <c r="H326" s="249"/>
      <c r="I326" s="249"/>
      <c r="K326" s="249"/>
    </row>
    <row r="327" spans="1:11" s="46" customFormat="1" ht="12.75">
      <c r="A327" s="49"/>
      <c r="B327" s="49"/>
      <c r="C327" s="49"/>
      <c r="D327" s="49"/>
      <c r="E327" s="48"/>
      <c r="F327" s="236"/>
      <c r="G327" s="245"/>
      <c r="H327" s="249"/>
      <c r="I327" s="249"/>
      <c r="K327" s="249"/>
    </row>
    <row r="328" spans="1:11" s="46" customFormat="1" ht="12.75">
      <c r="A328" s="49"/>
      <c r="B328" s="49"/>
      <c r="C328" s="49"/>
      <c r="D328" s="49"/>
      <c r="E328" s="48"/>
      <c r="F328" s="236"/>
      <c r="G328" s="245"/>
      <c r="H328" s="249"/>
      <c r="I328" s="249"/>
      <c r="K328" s="249"/>
    </row>
    <row r="329" spans="1:11" s="46" customFormat="1" ht="12.75">
      <c r="A329" s="49"/>
      <c r="B329" s="49"/>
      <c r="C329" s="49"/>
      <c r="D329" s="49"/>
      <c r="E329" s="48"/>
      <c r="F329" s="236"/>
      <c r="G329" s="245"/>
      <c r="H329" s="249"/>
      <c r="I329" s="249"/>
      <c r="K329" s="249"/>
    </row>
    <row r="330" spans="1:11" s="46" customFormat="1" ht="12.75">
      <c r="A330" s="49"/>
      <c r="B330" s="49"/>
      <c r="C330" s="49"/>
      <c r="D330" s="49"/>
      <c r="E330" s="48"/>
      <c r="F330" s="236"/>
      <c r="G330" s="245"/>
      <c r="H330" s="249"/>
      <c r="I330" s="249"/>
      <c r="K330" s="249"/>
    </row>
    <row r="331" spans="1:11" s="46" customFormat="1" ht="12.75">
      <c r="A331" s="49"/>
      <c r="B331" s="49"/>
      <c r="C331" s="49"/>
      <c r="D331" s="49"/>
      <c r="E331" s="48"/>
      <c r="F331" s="236"/>
      <c r="G331" s="245"/>
      <c r="H331" s="249"/>
      <c r="I331" s="249"/>
      <c r="K331" s="249"/>
    </row>
    <row r="332" spans="1:11" s="46" customFormat="1" ht="12.75">
      <c r="A332" s="49"/>
      <c r="B332" s="49"/>
      <c r="C332" s="49"/>
      <c r="D332" s="49"/>
      <c r="E332" s="48"/>
      <c r="F332" s="236"/>
      <c r="G332" s="245"/>
      <c r="H332" s="249"/>
      <c r="I332" s="249"/>
      <c r="K332" s="249"/>
    </row>
    <row r="333" spans="1:11" s="46" customFormat="1" ht="12.75">
      <c r="A333" s="49"/>
      <c r="B333" s="49"/>
      <c r="C333" s="49"/>
      <c r="D333" s="49"/>
      <c r="E333" s="48"/>
      <c r="F333" s="236"/>
      <c r="G333" s="245"/>
      <c r="H333" s="249"/>
      <c r="I333" s="249"/>
      <c r="K333" s="249"/>
    </row>
    <row r="334" spans="1:11" s="46" customFormat="1" ht="12.75">
      <c r="A334" s="49"/>
      <c r="B334" s="49"/>
      <c r="C334" s="49"/>
      <c r="D334" s="49"/>
      <c r="E334" s="48"/>
      <c r="F334" s="236"/>
      <c r="G334" s="245"/>
      <c r="H334" s="249"/>
      <c r="I334" s="249"/>
      <c r="K334" s="249"/>
    </row>
    <row r="335" spans="1:11" s="46" customFormat="1" ht="12.75">
      <c r="A335" s="49"/>
      <c r="B335" s="49"/>
      <c r="C335" s="49"/>
      <c r="D335" s="49"/>
      <c r="E335" s="48"/>
      <c r="F335" s="236"/>
      <c r="G335" s="245"/>
      <c r="H335" s="249"/>
      <c r="I335" s="249"/>
      <c r="K335" s="249"/>
    </row>
    <row r="336" spans="1:11" s="46" customFormat="1" ht="12.75">
      <c r="A336" s="49"/>
      <c r="B336" s="49"/>
      <c r="C336" s="49"/>
      <c r="D336" s="49"/>
      <c r="E336" s="48"/>
      <c r="F336" s="236"/>
      <c r="G336" s="245"/>
      <c r="H336" s="249"/>
      <c r="I336" s="249"/>
      <c r="K336" s="249"/>
    </row>
    <row r="337" spans="1:11" s="46" customFormat="1" ht="12.75">
      <c r="A337" s="49"/>
      <c r="B337" s="49"/>
      <c r="C337" s="49"/>
      <c r="D337" s="49"/>
      <c r="E337" s="48"/>
      <c r="F337" s="236"/>
      <c r="G337" s="245"/>
      <c r="H337" s="249"/>
      <c r="I337" s="249"/>
      <c r="K337" s="249"/>
    </row>
    <row r="338" spans="1:11" s="46" customFormat="1" ht="12.75">
      <c r="A338" s="49"/>
      <c r="B338" s="49"/>
      <c r="C338" s="49"/>
      <c r="D338" s="49"/>
      <c r="E338" s="48"/>
      <c r="F338" s="236"/>
      <c r="G338" s="245"/>
      <c r="H338" s="249"/>
      <c r="I338" s="249"/>
      <c r="K338" s="249"/>
    </row>
    <row r="339" spans="1:11" s="46" customFormat="1" ht="12.75">
      <c r="A339" s="49"/>
      <c r="B339" s="49"/>
      <c r="C339" s="49"/>
      <c r="D339" s="49"/>
      <c r="E339" s="48"/>
      <c r="F339" s="236"/>
      <c r="G339" s="245"/>
      <c r="H339" s="249"/>
      <c r="I339" s="249"/>
      <c r="K339" s="249"/>
    </row>
    <row r="340" spans="1:11" s="46" customFormat="1" ht="12.75">
      <c r="A340" s="49"/>
      <c r="B340" s="49"/>
      <c r="C340" s="49"/>
      <c r="D340" s="49"/>
      <c r="E340" s="48"/>
      <c r="F340" s="236"/>
      <c r="G340" s="245"/>
      <c r="H340" s="249"/>
      <c r="I340" s="249"/>
      <c r="K340" s="249"/>
    </row>
    <row r="341" spans="1:11" s="46" customFormat="1" ht="12.75">
      <c r="A341" s="49"/>
      <c r="B341" s="49"/>
      <c r="C341" s="49"/>
      <c r="D341" s="49"/>
      <c r="E341" s="48"/>
      <c r="F341" s="236"/>
      <c r="G341" s="245"/>
      <c r="H341" s="249"/>
      <c r="I341" s="249"/>
      <c r="K341" s="249"/>
    </row>
    <row r="342" spans="1:11" s="46" customFormat="1" ht="12.75">
      <c r="A342" s="49"/>
      <c r="B342" s="49"/>
      <c r="C342" s="49"/>
      <c r="D342" s="49"/>
      <c r="E342" s="48"/>
      <c r="F342" s="236"/>
      <c r="G342" s="245"/>
      <c r="H342" s="249"/>
      <c r="I342" s="249"/>
      <c r="K342" s="249"/>
    </row>
    <row r="343" spans="1:11" s="46" customFormat="1" ht="12.75">
      <c r="A343" s="49"/>
      <c r="B343" s="49"/>
      <c r="C343" s="49"/>
      <c r="D343" s="49"/>
      <c r="E343" s="48"/>
      <c r="F343" s="236"/>
      <c r="G343" s="245"/>
      <c r="H343" s="249"/>
      <c r="I343" s="249"/>
      <c r="K343" s="249"/>
    </row>
    <row r="344" spans="1:11" s="46" customFormat="1" ht="12.75">
      <c r="A344" s="49"/>
      <c r="B344" s="49"/>
      <c r="C344" s="49"/>
      <c r="D344" s="49"/>
      <c r="E344" s="48"/>
      <c r="F344" s="236"/>
      <c r="G344" s="245"/>
      <c r="H344" s="249"/>
      <c r="I344" s="249"/>
      <c r="K344" s="249"/>
    </row>
    <row r="345" spans="1:11" s="46" customFormat="1" ht="12.75">
      <c r="A345" s="49"/>
      <c r="B345" s="49"/>
      <c r="C345" s="49"/>
      <c r="D345" s="49"/>
      <c r="E345" s="48"/>
      <c r="F345" s="236"/>
      <c r="G345" s="245"/>
      <c r="H345" s="249"/>
      <c r="I345" s="249"/>
      <c r="K345" s="249"/>
    </row>
    <row r="346" spans="1:11" s="46" customFormat="1" ht="12.75">
      <c r="A346" s="49"/>
      <c r="B346" s="49"/>
      <c r="C346" s="49"/>
      <c r="D346" s="49"/>
      <c r="E346" s="48"/>
      <c r="F346" s="236"/>
      <c r="G346" s="245"/>
      <c r="H346" s="249"/>
      <c r="I346" s="249"/>
      <c r="K346" s="249"/>
    </row>
    <row r="347" spans="1:11" s="46" customFormat="1" ht="12.75">
      <c r="A347" s="49"/>
      <c r="B347" s="49"/>
      <c r="C347" s="49"/>
      <c r="D347" s="49"/>
      <c r="E347" s="48"/>
      <c r="F347" s="236"/>
      <c r="G347" s="245"/>
      <c r="H347" s="249"/>
      <c r="I347" s="249"/>
      <c r="K347" s="249"/>
    </row>
    <row r="348" spans="1:11" s="46" customFormat="1" ht="12.75">
      <c r="A348" s="49"/>
      <c r="B348" s="49"/>
      <c r="C348" s="49"/>
      <c r="D348" s="49"/>
      <c r="E348" s="48"/>
      <c r="F348" s="236"/>
      <c r="G348" s="245"/>
      <c r="H348" s="249"/>
      <c r="I348" s="249"/>
      <c r="K348" s="249"/>
    </row>
    <row r="349" spans="1:11" s="46" customFormat="1" ht="12.75">
      <c r="A349" s="49"/>
      <c r="B349" s="49"/>
      <c r="C349" s="49"/>
      <c r="D349" s="49"/>
      <c r="E349" s="48"/>
      <c r="F349" s="236"/>
      <c r="G349" s="245"/>
      <c r="H349" s="249"/>
      <c r="I349" s="249"/>
      <c r="K349" s="249"/>
    </row>
    <row r="350" spans="1:11" s="46" customFormat="1" ht="12.75">
      <c r="A350" s="49"/>
      <c r="B350" s="49"/>
      <c r="C350" s="49"/>
      <c r="D350" s="49"/>
      <c r="E350" s="48"/>
      <c r="F350" s="236"/>
      <c r="G350" s="245"/>
      <c r="H350" s="249"/>
      <c r="I350" s="249"/>
      <c r="K350" s="249"/>
    </row>
    <row r="351" spans="1:11" s="46" customFormat="1" ht="12.75">
      <c r="A351" s="49"/>
      <c r="B351" s="49"/>
      <c r="C351" s="49"/>
      <c r="D351" s="49"/>
      <c r="E351" s="48"/>
      <c r="F351" s="236"/>
      <c r="G351" s="245"/>
      <c r="H351" s="249"/>
      <c r="I351" s="249"/>
      <c r="K351" s="249"/>
    </row>
    <row r="352" spans="1:11" s="46" customFormat="1" ht="12.75">
      <c r="A352" s="49"/>
      <c r="B352" s="49"/>
      <c r="C352" s="49"/>
      <c r="D352" s="49"/>
      <c r="E352" s="48"/>
      <c r="F352" s="236"/>
      <c r="G352" s="245"/>
      <c r="H352" s="249"/>
      <c r="I352" s="249"/>
      <c r="K352" s="249"/>
    </row>
    <row r="353" spans="1:11" s="46" customFormat="1" ht="12.75">
      <c r="A353" s="49"/>
      <c r="B353" s="49"/>
      <c r="C353" s="49"/>
      <c r="D353" s="49"/>
      <c r="E353" s="48"/>
      <c r="F353" s="236"/>
      <c r="G353" s="245"/>
      <c r="H353" s="249"/>
      <c r="I353" s="249"/>
      <c r="K353" s="249"/>
    </row>
    <row r="354" spans="1:11" s="46" customFormat="1" ht="12.75">
      <c r="A354" s="49"/>
      <c r="B354" s="49"/>
      <c r="C354" s="49"/>
      <c r="D354" s="49"/>
      <c r="E354" s="48"/>
      <c r="F354" s="236"/>
      <c r="G354" s="245"/>
      <c r="H354" s="249"/>
      <c r="I354" s="249"/>
      <c r="K354" s="249"/>
    </row>
    <row r="355" spans="1:11" s="46" customFormat="1" ht="12.75">
      <c r="A355" s="49"/>
      <c r="B355" s="49"/>
      <c r="C355" s="49"/>
      <c r="D355" s="49"/>
      <c r="E355" s="48"/>
      <c r="F355" s="236"/>
      <c r="G355" s="245"/>
      <c r="H355" s="249"/>
      <c r="I355" s="249"/>
      <c r="K355" s="249"/>
    </row>
    <row r="356" spans="1:11" s="46" customFormat="1" ht="12.75">
      <c r="A356" s="49"/>
      <c r="B356" s="49"/>
      <c r="C356" s="49"/>
      <c r="D356" s="49"/>
      <c r="E356" s="48"/>
      <c r="F356" s="236"/>
      <c r="G356" s="245"/>
      <c r="H356" s="249"/>
      <c r="I356" s="249"/>
      <c r="K356" s="249"/>
    </row>
    <row r="357" spans="1:11" s="46" customFormat="1" ht="12.75">
      <c r="A357" s="49"/>
      <c r="B357" s="49"/>
      <c r="C357" s="49"/>
      <c r="D357" s="49"/>
      <c r="E357" s="48"/>
      <c r="F357" s="236"/>
      <c r="G357" s="245"/>
      <c r="H357" s="249"/>
      <c r="I357" s="249"/>
      <c r="K357" s="249"/>
    </row>
    <row r="358" spans="1:11" s="46" customFormat="1" ht="12.75">
      <c r="A358" s="49"/>
      <c r="B358" s="49"/>
      <c r="C358" s="49"/>
      <c r="D358" s="49"/>
      <c r="E358" s="48"/>
      <c r="F358" s="236"/>
      <c r="G358" s="245"/>
      <c r="H358" s="249"/>
      <c r="I358" s="249"/>
      <c r="K358" s="249"/>
    </row>
    <row r="359" spans="1:11" s="46" customFormat="1" ht="12.75">
      <c r="A359" s="49"/>
      <c r="B359" s="49"/>
      <c r="C359" s="49"/>
      <c r="D359" s="49"/>
      <c r="E359" s="48"/>
      <c r="F359" s="236"/>
      <c r="G359" s="245"/>
      <c r="H359" s="249"/>
      <c r="I359" s="249"/>
      <c r="K359" s="249"/>
    </row>
    <row r="360" spans="1:11" s="46" customFormat="1" ht="12.75">
      <c r="A360" s="49"/>
      <c r="B360" s="49"/>
      <c r="C360" s="49"/>
      <c r="D360" s="49"/>
      <c r="E360" s="48"/>
      <c r="F360" s="236"/>
      <c r="G360" s="245"/>
      <c r="H360" s="249"/>
      <c r="I360" s="249"/>
      <c r="K360" s="249"/>
    </row>
    <row r="361" spans="1:11" s="46" customFormat="1" ht="12.75">
      <c r="A361" s="49"/>
      <c r="B361" s="49"/>
      <c r="C361" s="49"/>
      <c r="D361" s="49"/>
      <c r="E361" s="48"/>
      <c r="F361" s="236"/>
      <c r="G361" s="245"/>
      <c r="H361" s="249"/>
      <c r="I361" s="249"/>
      <c r="K361" s="249"/>
    </row>
    <row r="362" spans="1:11" s="46" customFormat="1" ht="12.75">
      <c r="A362" s="49"/>
      <c r="B362" s="49"/>
      <c r="C362" s="49"/>
      <c r="D362" s="49"/>
      <c r="E362" s="48"/>
      <c r="F362" s="236"/>
      <c r="G362" s="245"/>
      <c r="H362" s="249"/>
      <c r="I362" s="249"/>
      <c r="K362" s="249"/>
    </row>
    <row r="363" spans="1:11" s="46" customFormat="1" ht="12.75">
      <c r="A363" s="49"/>
      <c r="B363" s="49"/>
      <c r="C363" s="49"/>
      <c r="D363" s="49"/>
      <c r="E363" s="48"/>
      <c r="F363" s="236"/>
      <c r="G363" s="245"/>
      <c r="H363" s="249"/>
      <c r="I363" s="249"/>
      <c r="K363" s="249"/>
    </row>
    <row r="364" spans="1:11" s="46" customFormat="1" ht="12.75">
      <c r="A364" s="49"/>
      <c r="B364" s="49"/>
      <c r="C364" s="49"/>
      <c r="D364" s="49"/>
      <c r="E364" s="48"/>
      <c r="F364" s="236"/>
      <c r="G364" s="245"/>
      <c r="H364" s="249"/>
      <c r="I364" s="249"/>
      <c r="K364" s="249"/>
    </row>
    <row r="365" spans="1:11" s="46" customFormat="1" ht="12.75">
      <c r="A365" s="49"/>
      <c r="B365" s="49"/>
      <c r="C365" s="49"/>
      <c r="D365" s="49"/>
      <c r="E365" s="48"/>
      <c r="F365" s="236"/>
      <c r="G365" s="245"/>
      <c r="H365" s="249"/>
      <c r="I365" s="249"/>
      <c r="K365" s="249"/>
    </row>
    <row r="366" spans="1:11" s="46" customFormat="1" ht="12.75">
      <c r="A366" s="49"/>
      <c r="B366" s="49"/>
      <c r="C366" s="49"/>
      <c r="D366" s="49"/>
      <c r="E366" s="48"/>
      <c r="F366" s="236"/>
      <c r="G366" s="245"/>
      <c r="H366" s="249"/>
      <c r="I366" s="249"/>
      <c r="K366" s="249"/>
    </row>
    <row r="367" spans="1:11" s="46" customFormat="1" ht="12.75">
      <c r="A367" s="49"/>
      <c r="B367" s="49"/>
      <c r="C367" s="49"/>
      <c r="D367" s="49"/>
      <c r="E367" s="48"/>
      <c r="F367" s="236"/>
      <c r="G367" s="245"/>
      <c r="H367" s="249"/>
      <c r="I367" s="249"/>
      <c r="K367" s="249"/>
    </row>
    <row r="368" spans="1:11" s="46" customFormat="1" ht="12.75">
      <c r="A368" s="49"/>
      <c r="B368" s="49"/>
      <c r="C368" s="49"/>
      <c r="D368" s="49"/>
      <c r="E368" s="48"/>
      <c r="F368" s="236"/>
      <c r="G368" s="245"/>
      <c r="H368" s="249"/>
      <c r="I368" s="249"/>
      <c r="K368" s="249"/>
    </row>
    <row r="369" spans="1:11" s="46" customFormat="1" ht="12.75">
      <c r="A369" s="49"/>
      <c r="B369" s="49"/>
      <c r="C369" s="49"/>
      <c r="D369" s="49"/>
      <c r="E369" s="48"/>
      <c r="F369" s="236"/>
      <c r="G369" s="245"/>
      <c r="H369" s="249"/>
      <c r="I369" s="249"/>
      <c r="K369" s="249"/>
    </row>
    <row r="370" spans="1:11" s="46" customFormat="1" ht="12.75">
      <c r="A370" s="49"/>
      <c r="B370" s="49"/>
      <c r="C370" s="49"/>
      <c r="D370" s="49"/>
      <c r="E370" s="48"/>
      <c r="F370" s="236"/>
      <c r="G370" s="245"/>
      <c r="H370" s="249"/>
      <c r="I370" s="249"/>
      <c r="K370" s="249"/>
    </row>
    <row r="371" spans="1:11" s="46" customFormat="1" ht="12.75">
      <c r="A371" s="49"/>
      <c r="B371" s="49"/>
      <c r="C371" s="49"/>
      <c r="D371" s="49"/>
      <c r="E371" s="48"/>
      <c r="F371" s="236"/>
      <c r="G371" s="245"/>
      <c r="H371" s="249"/>
      <c r="I371" s="249"/>
      <c r="K371" s="249"/>
    </row>
    <row r="372" spans="1:11" s="46" customFormat="1" ht="12.75">
      <c r="A372" s="49"/>
      <c r="B372" s="49"/>
      <c r="C372" s="49"/>
      <c r="D372" s="49"/>
      <c r="E372" s="48"/>
      <c r="F372" s="236"/>
      <c r="G372" s="245"/>
      <c r="H372" s="249"/>
      <c r="I372" s="249"/>
      <c r="K372" s="249"/>
    </row>
    <row r="373" spans="1:11" s="46" customFormat="1" ht="12.75">
      <c r="A373" s="49"/>
      <c r="B373" s="49"/>
      <c r="C373" s="49"/>
      <c r="D373" s="49"/>
      <c r="E373" s="48"/>
      <c r="F373" s="236"/>
      <c r="G373" s="245"/>
      <c r="H373" s="249"/>
      <c r="I373" s="249"/>
      <c r="K373" s="249"/>
    </row>
    <row r="374" spans="1:11" s="46" customFormat="1" ht="12.75">
      <c r="A374" s="49"/>
      <c r="B374" s="49"/>
      <c r="C374" s="49"/>
      <c r="D374" s="49"/>
      <c r="E374" s="48"/>
      <c r="F374" s="236"/>
      <c r="G374" s="245"/>
      <c r="H374" s="249"/>
      <c r="I374" s="249"/>
      <c r="K374" s="249"/>
    </row>
    <row r="375" spans="1:11" s="46" customFormat="1" ht="12.75">
      <c r="A375" s="49"/>
      <c r="B375" s="49"/>
      <c r="C375" s="49"/>
      <c r="D375" s="49"/>
      <c r="E375" s="48"/>
      <c r="F375" s="236"/>
      <c r="G375" s="245"/>
      <c r="H375" s="249"/>
      <c r="I375" s="249"/>
      <c r="K375" s="249"/>
    </row>
    <row r="376" spans="1:11" s="46" customFormat="1" ht="12.75">
      <c r="A376" s="49"/>
      <c r="B376" s="49"/>
      <c r="C376" s="49"/>
      <c r="D376" s="49"/>
      <c r="E376" s="48"/>
      <c r="F376" s="236"/>
      <c r="G376" s="245"/>
      <c r="H376" s="249"/>
      <c r="I376" s="249"/>
      <c r="K376" s="249"/>
    </row>
    <row r="377" spans="1:11" s="46" customFormat="1" ht="12.75">
      <c r="A377" s="49"/>
      <c r="B377" s="49"/>
      <c r="C377" s="49"/>
      <c r="D377" s="49"/>
      <c r="E377" s="48"/>
      <c r="F377" s="236"/>
      <c r="G377" s="245"/>
      <c r="H377" s="249"/>
      <c r="I377" s="249"/>
      <c r="K377" s="249"/>
    </row>
    <row r="378" spans="1:11" s="46" customFormat="1" ht="12.75">
      <c r="A378" s="49"/>
      <c r="B378" s="49"/>
      <c r="C378" s="49"/>
      <c r="D378" s="49"/>
      <c r="E378" s="48"/>
      <c r="F378" s="236"/>
      <c r="G378" s="245"/>
      <c r="H378" s="249"/>
      <c r="I378" s="249"/>
      <c r="K378" s="249"/>
    </row>
    <row r="379" spans="1:11" s="46" customFormat="1" ht="12.75">
      <c r="A379" s="49"/>
      <c r="B379" s="49"/>
      <c r="C379" s="49"/>
      <c r="D379" s="49"/>
      <c r="E379" s="48"/>
      <c r="F379" s="236"/>
      <c r="G379" s="245"/>
      <c r="H379" s="249"/>
      <c r="I379" s="249"/>
      <c r="K379" s="249"/>
    </row>
    <row r="380" spans="1:11" s="46" customFormat="1" ht="12.75">
      <c r="A380" s="49"/>
      <c r="B380" s="49"/>
      <c r="C380" s="49"/>
      <c r="D380" s="49"/>
      <c r="E380" s="48"/>
      <c r="F380" s="236"/>
      <c r="G380" s="245"/>
      <c r="H380" s="249"/>
      <c r="I380" s="249"/>
      <c r="K380" s="249"/>
    </row>
    <row r="381" spans="1:11" s="46" customFormat="1" ht="12.75">
      <c r="A381" s="49"/>
      <c r="B381" s="49"/>
      <c r="C381" s="49"/>
      <c r="D381" s="49"/>
      <c r="E381" s="48"/>
      <c r="F381" s="236"/>
      <c r="G381" s="245"/>
      <c r="H381" s="249"/>
      <c r="I381" s="249"/>
      <c r="K381" s="249"/>
    </row>
    <row r="382" spans="1:11" s="46" customFormat="1" ht="12.75">
      <c r="A382" s="49"/>
      <c r="B382" s="49"/>
      <c r="C382" s="49"/>
      <c r="D382" s="49"/>
      <c r="E382" s="48"/>
      <c r="F382" s="236"/>
      <c r="G382" s="245"/>
      <c r="H382" s="249"/>
      <c r="I382" s="249"/>
      <c r="K382" s="249"/>
    </row>
    <row r="383" spans="1:11" s="46" customFormat="1" ht="12.75">
      <c r="A383" s="49"/>
      <c r="B383" s="49"/>
      <c r="C383" s="49"/>
      <c r="D383" s="49"/>
      <c r="E383" s="48"/>
      <c r="F383" s="236"/>
      <c r="G383" s="245"/>
      <c r="H383" s="249"/>
      <c r="I383" s="249"/>
      <c r="K383" s="249"/>
    </row>
    <row r="384" spans="1:11" s="46" customFormat="1" ht="12.75">
      <c r="A384" s="49"/>
      <c r="B384" s="49"/>
      <c r="C384" s="49"/>
      <c r="D384" s="49"/>
      <c r="E384" s="48"/>
      <c r="F384" s="236"/>
      <c r="G384" s="245"/>
      <c r="H384" s="249"/>
      <c r="I384" s="249"/>
      <c r="K384" s="249"/>
    </row>
    <row r="385" spans="1:11" s="46" customFormat="1" ht="12.75">
      <c r="A385" s="49"/>
      <c r="B385" s="49"/>
      <c r="C385" s="49"/>
      <c r="D385" s="49"/>
      <c r="E385" s="48"/>
      <c r="F385" s="236"/>
      <c r="G385" s="245"/>
      <c r="H385" s="249"/>
      <c r="I385" s="249"/>
      <c r="K385" s="249"/>
    </row>
    <row r="386" spans="1:11" s="46" customFormat="1" ht="12.75">
      <c r="A386" s="49"/>
      <c r="B386" s="49"/>
      <c r="C386" s="49"/>
      <c r="D386" s="49"/>
      <c r="E386" s="48"/>
      <c r="F386" s="236"/>
      <c r="G386" s="245"/>
      <c r="H386" s="249"/>
      <c r="I386" s="249"/>
      <c r="K386" s="249"/>
    </row>
    <row r="387" spans="1:11" s="46" customFormat="1" ht="12.75">
      <c r="A387" s="49"/>
      <c r="B387" s="49"/>
      <c r="C387" s="49"/>
      <c r="D387" s="49"/>
      <c r="E387" s="48"/>
      <c r="F387" s="236"/>
      <c r="G387" s="245"/>
      <c r="H387" s="249"/>
      <c r="I387" s="249"/>
      <c r="K387" s="249"/>
    </row>
    <row r="388" spans="1:11" s="46" customFormat="1" ht="12.75">
      <c r="A388" s="49"/>
      <c r="B388" s="49"/>
      <c r="C388" s="49"/>
      <c r="D388" s="49"/>
      <c r="E388" s="48"/>
      <c r="F388" s="236"/>
      <c r="G388" s="245"/>
      <c r="H388" s="249"/>
      <c r="I388" s="249"/>
      <c r="K388" s="249"/>
    </row>
    <row r="389" spans="1:11" s="46" customFormat="1" ht="12.75">
      <c r="A389" s="49"/>
      <c r="B389" s="49"/>
      <c r="C389" s="49"/>
      <c r="D389" s="49"/>
      <c r="E389" s="48"/>
      <c r="F389" s="236"/>
      <c r="G389" s="245"/>
      <c r="H389" s="249"/>
      <c r="I389" s="249"/>
      <c r="K389" s="249"/>
    </row>
    <row r="390" spans="1:11" s="46" customFormat="1" ht="12.75">
      <c r="A390" s="49"/>
      <c r="B390" s="49"/>
      <c r="C390" s="49"/>
      <c r="D390" s="49"/>
      <c r="E390" s="48"/>
      <c r="F390" s="236"/>
      <c r="G390" s="245"/>
      <c r="H390" s="249"/>
      <c r="I390" s="249"/>
      <c r="K390" s="249"/>
    </row>
    <row r="391" spans="1:11" s="46" customFormat="1" ht="12.75">
      <c r="A391" s="49"/>
      <c r="B391" s="49"/>
      <c r="C391" s="49"/>
      <c r="D391" s="49"/>
      <c r="E391" s="48"/>
      <c r="F391" s="236"/>
      <c r="G391" s="245"/>
      <c r="H391" s="249"/>
      <c r="I391" s="249"/>
      <c r="K391" s="249"/>
    </row>
    <row r="392" spans="1:11" s="46" customFormat="1" ht="12.75">
      <c r="A392" s="49"/>
      <c r="B392" s="49"/>
      <c r="C392" s="49"/>
      <c r="D392" s="49"/>
      <c r="E392" s="48"/>
      <c r="F392" s="236"/>
      <c r="G392" s="245"/>
      <c r="H392" s="249"/>
      <c r="I392" s="249"/>
      <c r="K392" s="249"/>
    </row>
    <row r="393" spans="1:11" s="46" customFormat="1" ht="12.75">
      <c r="A393" s="49"/>
      <c r="B393" s="49"/>
      <c r="C393" s="49"/>
      <c r="D393" s="49"/>
      <c r="E393" s="48"/>
      <c r="F393" s="236"/>
      <c r="G393" s="245"/>
      <c r="H393" s="249"/>
      <c r="I393" s="249"/>
      <c r="K393" s="249"/>
    </row>
    <row r="394" spans="1:11" s="46" customFormat="1" ht="12.75">
      <c r="A394" s="49"/>
      <c r="B394" s="49"/>
      <c r="C394" s="49"/>
      <c r="D394" s="49"/>
      <c r="E394" s="48"/>
      <c r="F394" s="236"/>
      <c r="G394" s="245"/>
      <c r="H394" s="249"/>
      <c r="I394" s="249"/>
      <c r="K394" s="249"/>
    </row>
    <row r="395" spans="1:11" s="46" customFormat="1" ht="12.75">
      <c r="A395" s="49"/>
      <c r="B395" s="49"/>
      <c r="C395" s="49"/>
      <c r="D395" s="49"/>
      <c r="E395" s="48"/>
      <c r="F395" s="236"/>
      <c r="G395" s="245"/>
      <c r="H395" s="249"/>
      <c r="I395" s="249"/>
      <c r="K395" s="249"/>
    </row>
    <row r="396" spans="1:11" s="46" customFormat="1" ht="12.75">
      <c r="A396" s="49"/>
      <c r="B396" s="49"/>
      <c r="C396" s="49"/>
      <c r="D396" s="49"/>
      <c r="E396" s="48"/>
      <c r="F396" s="236"/>
      <c r="G396" s="245"/>
      <c r="H396" s="249"/>
      <c r="I396" s="249"/>
      <c r="K396" s="249"/>
    </row>
    <row r="397" spans="1:11" s="46" customFormat="1" ht="12.75">
      <c r="A397" s="49"/>
      <c r="B397" s="49"/>
      <c r="C397" s="49"/>
      <c r="D397" s="49"/>
      <c r="E397" s="48"/>
      <c r="F397" s="236"/>
      <c r="G397" s="245"/>
      <c r="H397" s="249"/>
      <c r="I397" s="249"/>
      <c r="K397" s="249"/>
    </row>
    <row r="398" spans="1:11" s="46" customFormat="1" ht="12.75">
      <c r="A398" s="49"/>
      <c r="B398" s="49"/>
      <c r="C398" s="49"/>
      <c r="D398" s="49"/>
      <c r="E398" s="48"/>
      <c r="F398" s="236"/>
      <c r="G398" s="245"/>
      <c r="H398" s="249"/>
      <c r="I398" s="249"/>
      <c r="K398" s="249"/>
    </row>
    <row r="399" spans="1:11" s="46" customFormat="1" ht="12.75">
      <c r="A399" s="49"/>
      <c r="B399" s="49"/>
      <c r="C399" s="49"/>
      <c r="D399" s="49"/>
      <c r="E399" s="48"/>
      <c r="F399" s="236"/>
      <c r="G399" s="245"/>
      <c r="H399" s="249"/>
      <c r="I399" s="249"/>
      <c r="K399" s="249"/>
    </row>
    <row r="400" spans="1:11" s="46" customFormat="1" ht="12.75">
      <c r="A400" s="49"/>
      <c r="B400" s="49"/>
      <c r="C400" s="49"/>
      <c r="D400" s="49"/>
      <c r="E400" s="48"/>
      <c r="F400" s="236"/>
      <c r="G400" s="245"/>
      <c r="H400" s="249"/>
      <c r="I400" s="249"/>
      <c r="K400" s="249"/>
    </row>
    <row r="401" spans="1:11" s="46" customFormat="1" ht="12.75">
      <c r="A401" s="49"/>
      <c r="B401" s="49"/>
      <c r="C401" s="49"/>
      <c r="D401" s="49"/>
      <c r="E401" s="48"/>
      <c r="F401" s="236"/>
      <c r="G401" s="245"/>
      <c r="H401" s="249"/>
      <c r="I401" s="249"/>
      <c r="K401" s="249"/>
    </row>
    <row r="402" spans="1:11" s="46" customFormat="1" ht="12.75">
      <c r="A402" s="49"/>
      <c r="B402" s="49"/>
      <c r="C402" s="49"/>
      <c r="D402" s="49"/>
      <c r="E402" s="48"/>
      <c r="F402" s="236"/>
      <c r="G402" s="245"/>
      <c r="H402" s="249"/>
      <c r="I402" s="249"/>
      <c r="K402" s="249"/>
    </row>
    <row r="403" spans="1:11" s="46" customFormat="1" ht="12.75">
      <c r="A403" s="49"/>
      <c r="B403" s="49"/>
      <c r="C403" s="49"/>
      <c r="D403" s="49"/>
      <c r="E403" s="48"/>
      <c r="F403" s="236"/>
      <c r="G403" s="245"/>
      <c r="H403" s="249"/>
      <c r="I403" s="249"/>
      <c r="K403" s="249"/>
    </row>
    <row r="404" spans="1:11" s="46" customFormat="1" ht="12.75">
      <c r="A404" s="49"/>
      <c r="B404" s="49"/>
      <c r="C404" s="49"/>
      <c r="D404" s="49"/>
      <c r="E404" s="48"/>
      <c r="F404" s="236"/>
      <c r="G404" s="245"/>
      <c r="H404" s="249"/>
      <c r="I404" s="249"/>
      <c r="K404" s="249"/>
    </row>
    <row r="405" spans="1:11" s="46" customFormat="1" ht="12.75">
      <c r="A405" s="49"/>
      <c r="B405" s="49"/>
      <c r="C405" s="49"/>
      <c r="D405" s="49"/>
      <c r="E405" s="48"/>
      <c r="F405" s="236"/>
      <c r="G405" s="245"/>
      <c r="H405" s="249"/>
      <c r="I405" s="249"/>
      <c r="K405" s="249"/>
    </row>
    <row r="406" spans="1:11" s="46" customFormat="1" ht="12.75">
      <c r="A406" s="49"/>
      <c r="B406" s="49"/>
      <c r="C406" s="49"/>
      <c r="D406" s="49"/>
      <c r="E406" s="48"/>
      <c r="F406" s="236"/>
      <c r="G406" s="245"/>
      <c r="H406" s="249"/>
      <c r="I406" s="249"/>
      <c r="K406" s="249"/>
    </row>
    <row r="407" spans="1:11" s="46" customFormat="1" ht="12.75">
      <c r="A407" s="49"/>
      <c r="B407" s="49"/>
      <c r="C407" s="49"/>
      <c r="D407" s="49"/>
      <c r="E407" s="48"/>
      <c r="F407" s="236"/>
      <c r="G407" s="245"/>
      <c r="H407" s="249"/>
      <c r="I407" s="249"/>
      <c r="K407" s="249"/>
    </row>
    <row r="408" spans="1:11" s="46" customFormat="1" ht="12.75">
      <c r="A408" s="49"/>
      <c r="B408" s="49"/>
      <c r="C408" s="49"/>
      <c r="D408" s="49"/>
      <c r="E408" s="48"/>
      <c r="F408" s="236"/>
      <c r="G408" s="245"/>
      <c r="H408" s="249"/>
      <c r="I408" s="249"/>
      <c r="K408" s="249"/>
    </row>
    <row r="409" spans="1:11" s="46" customFormat="1" ht="12.75">
      <c r="A409" s="49"/>
      <c r="B409" s="49"/>
      <c r="C409" s="49"/>
      <c r="D409" s="49"/>
      <c r="E409" s="48"/>
      <c r="F409" s="236"/>
      <c r="G409" s="245"/>
      <c r="H409" s="249"/>
      <c r="I409" s="249"/>
      <c r="K409" s="249"/>
    </row>
    <row r="410" spans="1:11" s="46" customFormat="1" ht="12.75">
      <c r="A410" s="49"/>
      <c r="B410" s="49"/>
      <c r="C410" s="49"/>
      <c r="D410" s="49"/>
      <c r="E410" s="48"/>
      <c r="F410" s="236"/>
      <c r="G410" s="245"/>
      <c r="H410" s="249"/>
      <c r="I410" s="249"/>
      <c r="K410" s="249"/>
    </row>
    <row r="411" spans="1:11" s="46" customFormat="1" ht="12.75">
      <c r="A411" s="49"/>
      <c r="B411" s="49"/>
      <c r="C411" s="49"/>
      <c r="D411" s="49"/>
      <c r="E411" s="48"/>
      <c r="F411" s="236"/>
      <c r="G411" s="245"/>
      <c r="H411" s="249"/>
      <c r="I411" s="249"/>
      <c r="K411" s="249"/>
    </row>
    <row r="412" spans="1:11" s="46" customFormat="1" ht="12.75">
      <c r="A412" s="49"/>
      <c r="B412" s="49"/>
      <c r="C412" s="49"/>
      <c r="D412" s="49"/>
      <c r="E412" s="48"/>
      <c r="F412" s="236"/>
      <c r="G412" s="245"/>
      <c r="H412" s="249"/>
      <c r="I412" s="249"/>
      <c r="K412" s="249"/>
    </row>
    <row r="413" spans="1:11" s="46" customFormat="1" ht="12.75">
      <c r="A413" s="49"/>
      <c r="B413" s="49"/>
      <c r="C413" s="49"/>
      <c r="D413" s="49"/>
      <c r="E413" s="48"/>
      <c r="F413" s="236"/>
      <c r="G413" s="245"/>
      <c r="H413" s="249"/>
      <c r="I413" s="249"/>
      <c r="K413" s="249"/>
    </row>
    <row r="414" spans="1:11" s="46" customFormat="1" ht="12.75">
      <c r="A414" s="49"/>
      <c r="B414" s="49"/>
      <c r="C414" s="49"/>
      <c r="D414" s="49"/>
      <c r="E414" s="48"/>
      <c r="F414" s="236"/>
      <c r="G414" s="245"/>
      <c r="H414" s="249"/>
      <c r="I414" s="249"/>
      <c r="K414" s="249"/>
    </row>
    <row r="415" spans="1:11" s="46" customFormat="1" ht="12.75">
      <c r="A415" s="49"/>
      <c r="B415" s="49"/>
      <c r="C415" s="49"/>
      <c r="D415" s="49"/>
      <c r="E415" s="48"/>
      <c r="F415" s="236"/>
      <c r="G415" s="245"/>
      <c r="H415" s="249"/>
      <c r="I415" s="249"/>
      <c r="K415" s="249"/>
    </row>
    <row r="416" spans="1:11" s="46" customFormat="1" ht="12.75">
      <c r="A416" s="49"/>
      <c r="B416" s="49"/>
      <c r="C416" s="49"/>
      <c r="D416" s="49"/>
      <c r="E416" s="48"/>
      <c r="F416" s="236"/>
      <c r="G416" s="245"/>
      <c r="H416" s="249"/>
      <c r="I416" s="249"/>
      <c r="K416" s="249"/>
    </row>
    <row r="417" spans="1:11" s="46" customFormat="1" ht="12.75">
      <c r="A417" s="49"/>
      <c r="B417" s="49"/>
      <c r="C417" s="49"/>
      <c r="D417" s="49"/>
      <c r="E417" s="48"/>
      <c r="F417" s="236"/>
      <c r="G417" s="245"/>
      <c r="H417" s="249"/>
      <c r="I417" s="249"/>
      <c r="K417" s="249"/>
    </row>
    <row r="418" spans="1:11" s="46" customFormat="1" ht="12.75">
      <c r="A418" s="49"/>
      <c r="B418" s="49"/>
      <c r="C418" s="49"/>
      <c r="D418" s="49"/>
      <c r="E418" s="48"/>
      <c r="F418" s="236"/>
      <c r="G418" s="245"/>
      <c r="H418" s="249"/>
      <c r="I418" s="249"/>
      <c r="K418" s="249"/>
    </row>
    <row r="419" spans="1:11" s="46" customFormat="1" ht="12.75">
      <c r="A419" s="49"/>
      <c r="B419" s="49"/>
      <c r="C419" s="49"/>
      <c r="D419" s="49"/>
      <c r="E419" s="48"/>
      <c r="F419" s="236"/>
      <c r="G419" s="245"/>
      <c r="H419" s="249"/>
      <c r="I419" s="249"/>
      <c r="K419" s="249"/>
    </row>
    <row r="420" spans="1:11" s="46" customFormat="1" ht="12.75">
      <c r="A420" s="49"/>
      <c r="B420" s="49"/>
      <c r="C420" s="49"/>
      <c r="D420" s="49"/>
      <c r="E420" s="48"/>
      <c r="F420" s="236"/>
      <c r="G420" s="245"/>
      <c r="H420" s="249"/>
      <c r="I420" s="249"/>
      <c r="K420" s="249"/>
    </row>
    <row r="421" spans="1:11" s="46" customFormat="1" ht="12.75">
      <c r="A421" s="49"/>
      <c r="B421" s="49"/>
      <c r="C421" s="49"/>
      <c r="D421" s="49"/>
      <c r="E421" s="48"/>
      <c r="F421" s="236"/>
      <c r="G421" s="245"/>
      <c r="H421" s="249"/>
      <c r="I421" s="249"/>
      <c r="K421" s="249"/>
    </row>
    <row r="422" spans="1:11" s="46" customFormat="1" ht="12.75">
      <c r="A422" s="49"/>
      <c r="B422" s="49"/>
      <c r="C422" s="49"/>
      <c r="D422" s="49"/>
      <c r="E422" s="48"/>
      <c r="F422" s="236"/>
      <c r="G422" s="245"/>
      <c r="H422" s="249"/>
      <c r="I422" s="249"/>
      <c r="K422" s="249"/>
    </row>
    <row r="423" spans="1:11" s="46" customFormat="1" ht="12.75">
      <c r="A423" s="49"/>
      <c r="B423" s="49"/>
      <c r="C423" s="49"/>
      <c r="D423" s="49"/>
      <c r="E423" s="48"/>
      <c r="F423" s="236"/>
      <c r="G423" s="245"/>
      <c r="H423" s="249"/>
      <c r="I423" s="249"/>
      <c r="K423" s="249"/>
    </row>
    <row r="424" spans="1:11" s="46" customFormat="1" ht="12.75">
      <c r="A424" s="49"/>
      <c r="B424" s="49"/>
      <c r="C424" s="49"/>
      <c r="D424" s="49"/>
      <c r="E424" s="48"/>
      <c r="F424" s="236"/>
      <c r="G424" s="245"/>
      <c r="H424" s="249"/>
      <c r="I424" s="249"/>
      <c r="K424" s="249"/>
    </row>
    <row r="425" spans="1:11" s="46" customFormat="1" ht="12.75">
      <c r="A425" s="49"/>
      <c r="B425" s="49"/>
      <c r="C425" s="49"/>
      <c r="D425" s="49"/>
      <c r="E425" s="48"/>
      <c r="F425" s="236"/>
      <c r="G425" s="245"/>
      <c r="H425" s="249"/>
      <c r="I425" s="249"/>
      <c r="K425" s="249"/>
    </row>
    <row r="426" spans="1:11" s="46" customFormat="1" ht="12.75">
      <c r="A426" s="49"/>
      <c r="B426" s="49"/>
      <c r="C426" s="49"/>
      <c r="D426" s="49"/>
      <c r="E426" s="48"/>
      <c r="F426" s="236"/>
      <c r="G426" s="245"/>
      <c r="H426" s="249"/>
      <c r="I426" s="249"/>
      <c r="K426" s="249"/>
    </row>
    <row r="427" spans="1:11" s="46" customFormat="1" ht="12.75">
      <c r="A427" s="49"/>
      <c r="B427" s="49"/>
      <c r="C427" s="49"/>
      <c r="D427" s="49"/>
      <c r="E427" s="48"/>
      <c r="F427" s="236"/>
      <c r="G427" s="245"/>
      <c r="H427" s="249"/>
      <c r="I427" s="249"/>
      <c r="K427" s="249"/>
    </row>
    <row r="428" spans="1:11" s="46" customFormat="1" ht="12.75">
      <c r="A428" s="49"/>
      <c r="B428" s="49"/>
      <c r="C428" s="49"/>
      <c r="D428" s="49"/>
      <c r="E428" s="48"/>
      <c r="F428" s="236"/>
      <c r="G428" s="245"/>
      <c r="H428" s="249"/>
      <c r="I428" s="249"/>
      <c r="K428" s="249"/>
    </row>
    <row r="429" spans="1:11" s="46" customFormat="1" ht="12.75">
      <c r="A429" s="49"/>
      <c r="B429" s="49"/>
      <c r="C429" s="49"/>
      <c r="D429" s="49"/>
      <c r="E429" s="48"/>
      <c r="F429" s="236"/>
      <c r="G429" s="245"/>
      <c r="H429" s="249"/>
      <c r="I429" s="249"/>
      <c r="K429" s="249"/>
    </row>
    <row r="430" spans="1:11" s="46" customFormat="1" ht="12.75">
      <c r="A430" s="49"/>
      <c r="B430" s="49"/>
      <c r="C430" s="49"/>
      <c r="D430" s="49"/>
      <c r="E430" s="48"/>
      <c r="F430" s="236"/>
      <c r="G430" s="245"/>
      <c r="H430" s="249"/>
      <c r="I430" s="249"/>
      <c r="K430" s="249"/>
    </row>
    <row r="431" spans="1:11" s="46" customFormat="1" ht="12.75">
      <c r="A431" s="49"/>
      <c r="B431" s="49"/>
      <c r="C431" s="49"/>
      <c r="D431" s="49"/>
      <c r="E431" s="48"/>
      <c r="F431" s="236"/>
      <c r="G431" s="245"/>
      <c r="H431" s="249"/>
      <c r="I431" s="249"/>
      <c r="K431" s="249"/>
    </row>
    <row r="432" spans="1:11" s="46" customFormat="1" ht="12.75">
      <c r="A432" s="49"/>
      <c r="B432" s="49"/>
      <c r="C432" s="49"/>
      <c r="D432" s="49"/>
      <c r="E432" s="48"/>
      <c r="F432" s="236"/>
      <c r="G432" s="245"/>
      <c r="H432" s="249"/>
      <c r="I432" s="249"/>
      <c r="K432" s="249"/>
    </row>
    <row r="433" spans="1:11" s="46" customFormat="1" ht="12.75">
      <c r="A433" s="49"/>
      <c r="B433" s="49"/>
      <c r="C433" s="49"/>
      <c r="D433" s="49"/>
      <c r="E433" s="48"/>
      <c r="F433" s="236"/>
      <c r="G433" s="245"/>
      <c r="H433" s="249"/>
      <c r="I433" s="249"/>
      <c r="K433" s="249"/>
    </row>
    <row r="434" spans="1:11" s="46" customFormat="1" ht="12.75">
      <c r="A434" s="49"/>
      <c r="B434" s="49"/>
      <c r="C434" s="49"/>
      <c r="D434" s="49"/>
      <c r="E434" s="48"/>
      <c r="F434" s="236"/>
      <c r="G434" s="245"/>
      <c r="H434" s="249"/>
      <c r="I434" s="249"/>
      <c r="K434" s="249"/>
    </row>
    <row r="435" spans="1:11" s="46" customFormat="1" ht="12.75">
      <c r="A435" s="49"/>
      <c r="B435" s="49"/>
      <c r="C435" s="49"/>
      <c r="D435" s="49"/>
      <c r="E435" s="48"/>
      <c r="F435" s="236"/>
      <c r="G435" s="245"/>
      <c r="H435" s="249"/>
      <c r="I435" s="249"/>
      <c r="K435" s="249"/>
    </row>
    <row r="436" spans="1:11" s="46" customFormat="1" ht="12.75">
      <c r="A436" s="49"/>
      <c r="B436" s="49"/>
      <c r="C436" s="49"/>
      <c r="D436" s="49"/>
      <c r="E436" s="48"/>
      <c r="F436" s="236"/>
      <c r="G436" s="245"/>
      <c r="H436" s="249"/>
      <c r="I436" s="249"/>
      <c r="K436" s="249"/>
    </row>
    <row r="437" spans="1:11" s="46" customFormat="1" ht="12.75">
      <c r="A437" s="49"/>
      <c r="B437" s="49"/>
      <c r="C437" s="49"/>
      <c r="D437" s="49"/>
      <c r="E437" s="48"/>
      <c r="F437" s="236"/>
      <c r="G437" s="245"/>
      <c r="H437" s="249"/>
      <c r="I437" s="249"/>
      <c r="K437" s="249"/>
    </row>
    <row r="438" spans="1:11" s="46" customFormat="1" ht="12.75">
      <c r="A438" s="49"/>
      <c r="B438" s="49"/>
      <c r="C438" s="49"/>
      <c r="D438" s="49"/>
      <c r="E438" s="48"/>
      <c r="F438" s="236"/>
      <c r="G438" s="245"/>
      <c r="H438" s="249"/>
      <c r="I438" s="249"/>
      <c r="K438" s="249"/>
    </row>
    <row r="439" spans="1:11" s="46" customFormat="1" ht="12.75">
      <c r="A439" s="49"/>
      <c r="B439" s="49"/>
      <c r="C439" s="49"/>
      <c r="D439" s="49"/>
      <c r="E439" s="48"/>
      <c r="F439" s="236"/>
      <c r="G439" s="245"/>
      <c r="H439" s="249"/>
      <c r="I439" s="249"/>
      <c r="K439" s="249"/>
    </row>
    <row r="440" spans="1:11" s="46" customFormat="1" ht="12.75">
      <c r="A440" s="49"/>
      <c r="B440" s="49"/>
      <c r="C440" s="49"/>
      <c r="D440" s="49"/>
      <c r="E440" s="48"/>
      <c r="F440" s="236"/>
      <c r="G440" s="245"/>
      <c r="H440" s="249"/>
      <c r="I440" s="249"/>
      <c r="K440" s="249"/>
    </row>
    <row r="441" spans="1:11" s="46" customFormat="1" ht="12.75">
      <c r="A441" s="49"/>
      <c r="B441" s="49"/>
      <c r="C441" s="49"/>
      <c r="D441" s="49"/>
      <c r="E441" s="48"/>
      <c r="F441" s="236"/>
      <c r="G441" s="245"/>
      <c r="H441" s="249"/>
      <c r="I441" s="249"/>
      <c r="K441" s="249"/>
    </row>
    <row r="442" spans="1:11" s="46" customFormat="1" ht="12.75">
      <c r="A442" s="49"/>
      <c r="B442" s="49"/>
      <c r="C442" s="49"/>
      <c r="D442" s="49"/>
      <c r="E442" s="48"/>
      <c r="F442" s="236"/>
      <c r="G442" s="245"/>
      <c r="H442" s="249"/>
      <c r="I442" s="249"/>
      <c r="K442" s="249"/>
    </row>
    <row r="443" spans="1:11" s="46" customFormat="1" ht="12.75">
      <c r="A443" s="49"/>
      <c r="B443" s="49"/>
      <c r="C443" s="49"/>
      <c r="D443" s="49"/>
      <c r="E443" s="48"/>
      <c r="F443" s="236"/>
      <c r="G443" s="245"/>
      <c r="H443" s="249"/>
      <c r="I443" s="249"/>
      <c r="K443" s="249"/>
    </row>
    <row r="444" spans="1:11" s="46" customFormat="1" ht="12.75">
      <c r="A444" s="49"/>
      <c r="B444" s="49"/>
      <c r="C444" s="49"/>
      <c r="D444" s="49"/>
      <c r="E444" s="48"/>
      <c r="F444" s="236"/>
      <c r="G444" s="245"/>
      <c r="H444" s="249"/>
      <c r="I444" s="249"/>
      <c r="K444" s="249"/>
    </row>
    <row r="445" spans="1:11" s="46" customFormat="1" ht="12.75">
      <c r="A445" s="49"/>
      <c r="B445" s="49"/>
      <c r="C445" s="49"/>
      <c r="D445" s="49"/>
      <c r="E445" s="48"/>
      <c r="F445" s="236"/>
      <c r="G445" s="245"/>
      <c r="H445" s="249"/>
      <c r="I445" s="249"/>
      <c r="K445" s="249"/>
    </row>
    <row r="446" spans="1:11" s="46" customFormat="1" ht="12.75">
      <c r="A446" s="49"/>
      <c r="B446" s="49"/>
      <c r="C446" s="49"/>
      <c r="D446" s="49"/>
      <c r="E446" s="48"/>
      <c r="F446" s="236"/>
      <c r="G446" s="245"/>
      <c r="H446" s="249"/>
      <c r="I446" s="249"/>
      <c r="K446" s="249"/>
    </row>
    <row r="447" spans="1:11" s="46" customFormat="1" ht="12.75">
      <c r="A447" s="49"/>
      <c r="B447" s="49"/>
      <c r="C447" s="49"/>
      <c r="D447" s="49"/>
      <c r="E447" s="48"/>
      <c r="F447" s="236"/>
      <c r="G447" s="245"/>
      <c r="H447" s="249"/>
      <c r="I447" s="249"/>
      <c r="K447" s="249"/>
    </row>
    <row r="448" spans="1:11" s="46" customFormat="1" ht="12.75">
      <c r="A448" s="49"/>
      <c r="B448" s="49"/>
      <c r="C448" s="49"/>
      <c r="D448" s="49"/>
      <c r="E448" s="48"/>
      <c r="F448" s="236"/>
      <c r="G448" s="245"/>
      <c r="H448" s="249"/>
      <c r="I448" s="249"/>
      <c r="K448" s="249"/>
    </row>
    <row r="449" spans="1:11" s="46" customFormat="1" ht="12.75">
      <c r="A449" s="49"/>
      <c r="B449" s="49"/>
      <c r="C449" s="49"/>
      <c r="D449" s="49"/>
      <c r="E449" s="48"/>
      <c r="F449" s="236"/>
      <c r="G449" s="245"/>
      <c r="H449" s="249"/>
      <c r="I449" s="249"/>
      <c r="K449" s="249"/>
    </row>
    <row r="450" spans="1:11" s="46" customFormat="1" ht="12.75">
      <c r="A450" s="49"/>
      <c r="B450" s="49"/>
      <c r="C450" s="49"/>
      <c r="D450" s="49"/>
      <c r="E450" s="48"/>
      <c r="F450" s="236"/>
      <c r="G450" s="245"/>
      <c r="H450" s="249"/>
      <c r="I450" s="249"/>
      <c r="K450" s="249"/>
    </row>
    <row r="451" spans="1:11" s="46" customFormat="1" ht="12.75">
      <c r="A451" s="49"/>
      <c r="B451" s="49"/>
      <c r="C451" s="49"/>
      <c r="D451" s="49"/>
      <c r="E451" s="48"/>
      <c r="F451" s="236"/>
      <c r="G451" s="245"/>
      <c r="H451" s="249"/>
      <c r="I451" s="249"/>
      <c r="K451" s="249"/>
    </row>
    <row r="452" spans="1:11" s="46" customFormat="1" ht="12.75">
      <c r="A452" s="49"/>
      <c r="B452" s="49"/>
      <c r="C452" s="49"/>
      <c r="D452" s="49"/>
      <c r="E452" s="48"/>
      <c r="F452" s="236"/>
      <c r="G452" s="245"/>
      <c r="H452" s="249"/>
      <c r="I452" s="249"/>
      <c r="K452" s="249"/>
    </row>
    <row r="453" spans="1:11" s="46" customFormat="1" ht="12.75">
      <c r="A453" s="49"/>
      <c r="B453" s="49"/>
      <c r="C453" s="49"/>
      <c r="D453" s="49"/>
      <c r="E453" s="48"/>
      <c r="F453" s="236"/>
      <c r="G453" s="245"/>
      <c r="H453" s="249"/>
      <c r="I453" s="249"/>
      <c r="K453" s="249"/>
    </row>
    <row r="454" spans="1:11" s="46" customFormat="1" ht="12.75">
      <c r="A454" s="49"/>
      <c r="B454" s="49"/>
      <c r="C454" s="49"/>
      <c r="D454" s="49"/>
      <c r="E454" s="48"/>
      <c r="F454" s="236"/>
      <c r="G454" s="245"/>
      <c r="H454" s="249"/>
      <c r="I454" s="249"/>
      <c r="K454" s="249"/>
    </row>
    <row r="455" spans="1:11" s="46" customFormat="1" ht="12.75">
      <c r="A455" s="49"/>
      <c r="B455" s="49"/>
      <c r="C455" s="49"/>
      <c r="D455" s="49"/>
      <c r="E455" s="48"/>
      <c r="F455" s="236"/>
      <c r="G455" s="245"/>
      <c r="H455" s="249"/>
      <c r="I455" s="249"/>
      <c r="K455" s="249"/>
    </row>
    <row r="456" spans="1:11" s="46" customFormat="1" ht="12.75">
      <c r="A456" s="49"/>
      <c r="B456" s="49"/>
      <c r="C456" s="49"/>
      <c r="D456" s="49"/>
      <c r="E456" s="48"/>
      <c r="F456" s="236"/>
      <c r="G456" s="245"/>
      <c r="H456" s="249"/>
      <c r="I456" s="249"/>
      <c r="K456" s="249"/>
    </row>
    <row r="457" spans="1:11" s="46" customFormat="1" ht="12.75">
      <c r="A457" s="49"/>
      <c r="B457" s="49"/>
      <c r="C457" s="49"/>
      <c r="D457" s="49"/>
      <c r="E457" s="48"/>
      <c r="F457" s="236"/>
      <c r="G457" s="245"/>
      <c r="H457" s="249"/>
      <c r="I457" s="249"/>
      <c r="K457" s="249"/>
    </row>
    <row r="458" spans="1:11" s="46" customFormat="1" ht="12.75">
      <c r="A458" s="49"/>
      <c r="B458" s="49"/>
      <c r="C458" s="49"/>
      <c r="D458" s="49"/>
      <c r="E458" s="48"/>
      <c r="F458" s="236"/>
      <c r="G458" s="245"/>
      <c r="H458" s="249"/>
      <c r="I458" s="249"/>
      <c r="K458" s="249"/>
    </row>
    <row r="459" spans="1:11" s="46" customFormat="1" ht="12.75">
      <c r="A459" s="49"/>
      <c r="B459" s="49"/>
      <c r="C459" s="49"/>
      <c r="D459" s="49"/>
      <c r="E459" s="48"/>
      <c r="F459" s="236"/>
      <c r="G459" s="245"/>
      <c r="H459" s="249"/>
      <c r="I459" s="249"/>
      <c r="K459" s="249"/>
    </row>
    <row r="460" spans="1:11" s="46" customFormat="1" ht="12.75">
      <c r="A460" s="49"/>
      <c r="B460" s="49"/>
      <c r="C460" s="49"/>
      <c r="D460" s="49"/>
      <c r="E460" s="48"/>
      <c r="F460" s="236"/>
      <c r="G460" s="245"/>
      <c r="H460" s="249"/>
      <c r="I460" s="249"/>
      <c r="K460" s="249"/>
    </row>
    <row r="461" spans="1:11" s="46" customFormat="1" ht="12.75">
      <c r="A461" s="49"/>
      <c r="B461" s="49"/>
      <c r="C461" s="49"/>
      <c r="D461" s="49"/>
      <c r="E461" s="48"/>
      <c r="F461" s="236"/>
      <c r="G461" s="245"/>
      <c r="H461" s="249"/>
      <c r="I461" s="249"/>
      <c r="K461" s="249"/>
    </row>
    <row r="462" spans="1:11" s="46" customFormat="1" ht="12.75">
      <c r="A462" s="49"/>
      <c r="B462" s="49"/>
      <c r="C462" s="49"/>
      <c r="D462" s="49"/>
      <c r="E462" s="48"/>
      <c r="F462" s="236"/>
      <c r="G462" s="245"/>
      <c r="H462" s="249"/>
      <c r="I462" s="249"/>
      <c r="K462" s="249"/>
    </row>
    <row r="463" spans="1:11" s="46" customFormat="1" ht="12.75">
      <c r="A463" s="49"/>
      <c r="B463" s="49"/>
      <c r="C463" s="49"/>
      <c r="D463" s="49"/>
      <c r="E463" s="48"/>
      <c r="F463" s="236"/>
      <c r="G463" s="245"/>
      <c r="H463" s="249"/>
      <c r="I463" s="249"/>
      <c r="K463" s="249"/>
    </row>
    <row r="464" spans="1:11" s="46" customFormat="1" ht="12.75">
      <c r="A464" s="49"/>
      <c r="B464" s="49"/>
      <c r="C464" s="49"/>
      <c r="D464" s="49"/>
      <c r="E464" s="48"/>
      <c r="F464" s="236"/>
      <c r="G464" s="245"/>
      <c r="H464" s="249"/>
      <c r="I464" s="249"/>
      <c r="K464" s="249"/>
    </row>
    <row r="465" spans="1:11" s="46" customFormat="1" ht="12.75">
      <c r="A465" s="49"/>
      <c r="B465" s="49"/>
      <c r="C465" s="49"/>
      <c r="D465" s="49"/>
      <c r="E465" s="48"/>
      <c r="F465" s="236"/>
      <c r="G465" s="245"/>
      <c r="H465" s="249"/>
      <c r="I465" s="249"/>
      <c r="K465" s="249"/>
    </row>
    <row r="466" spans="1:11" s="46" customFormat="1" ht="12.75">
      <c r="A466" s="49"/>
      <c r="B466" s="49"/>
      <c r="C466" s="49"/>
      <c r="D466" s="49"/>
      <c r="E466" s="48"/>
      <c r="F466" s="236"/>
      <c r="G466" s="245"/>
      <c r="H466" s="249"/>
      <c r="I466" s="249"/>
      <c r="K466" s="249"/>
    </row>
    <row r="467" spans="1:11" s="46" customFormat="1" ht="12.75">
      <c r="A467" s="49"/>
      <c r="B467" s="49"/>
      <c r="C467" s="49"/>
      <c r="D467" s="49"/>
      <c r="E467" s="48"/>
      <c r="F467" s="236"/>
      <c r="G467" s="245"/>
      <c r="H467" s="249"/>
      <c r="I467" s="249"/>
      <c r="K467" s="249"/>
    </row>
    <row r="468" spans="1:11" s="46" customFormat="1" ht="12.75">
      <c r="A468" s="49"/>
      <c r="B468" s="49"/>
      <c r="C468" s="49"/>
      <c r="D468" s="49"/>
      <c r="E468" s="48"/>
      <c r="F468" s="236"/>
      <c r="G468" s="245"/>
      <c r="H468" s="249"/>
      <c r="I468" s="249"/>
      <c r="K468" s="249"/>
    </row>
    <row r="469" spans="1:11" s="46" customFormat="1" ht="12.75">
      <c r="A469" s="49"/>
      <c r="B469" s="49"/>
      <c r="C469" s="49"/>
      <c r="D469" s="49"/>
      <c r="E469" s="48"/>
      <c r="F469" s="236"/>
      <c r="G469" s="245"/>
      <c r="H469" s="249"/>
      <c r="I469" s="249"/>
      <c r="K469" s="249"/>
    </row>
    <row r="470" spans="1:11" s="46" customFormat="1" ht="12.75">
      <c r="A470" s="49"/>
      <c r="B470" s="49"/>
      <c r="C470" s="49"/>
      <c r="D470" s="49"/>
      <c r="E470" s="48"/>
      <c r="F470" s="236"/>
      <c r="G470" s="245"/>
      <c r="H470" s="249"/>
      <c r="I470" s="249"/>
      <c r="K470" s="249"/>
    </row>
    <row r="471" spans="1:11" s="46" customFormat="1" ht="12.75">
      <c r="A471" s="49"/>
      <c r="B471" s="49"/>
      <c r="C471" s="49"/>
      <c r="D471" s="49"/>
      <c r="E471" s="48"/>
      <c r="F471" s="236"/>
      <c r="G471" s="245"/>
      <c r="H471" s="249"/>
      <c r="I471" s="249"/>
      <c r="K471" s="249"/>
    </row>
    <row r="472" spans="1:11" s="46" customFormat="1" ht="12.75">
      <c r="A472" s="49"/>
      <c r="B472" s="49"/>
      <c r="C472" s="49"/>
      <c r="D472" s="49"/>
      <c r="E472" s="48"/>
      <c r="F472" s="236"/>
      <c r="G472" s="245"/>
      <c r="H472" s="249"/>
      <c r="I472" s="249"/>
      <c r="K472" s="249"/>
    </row>
    <row r="473" spans="1:11" s="46" customFormat="1" ht="12.75">
      <c r="A473" s="49"/>
      <c r="B473" s="49"/>
      <c r="C473" s="49"/>
      <c r="D473" s="49"/>
      <c r="E473" s="48"/>
      <c r="F473" s="236"/>
      <c r="G473" s="245"/>
      <c r="H473" s="249"/>
      <c r="I473" s="249"/>
      <c r="K473" s="249"/>
    </row>
    <row r="474" spans="1:11" s="46" customFormat="1" ht="12.75">
      <c r="A474" s="49"/>
      <c r="B474" s="49"/>
      <c r="C474" s="49"/>
      <c r="D474" s="49"/>
      <c r="E474" s="48"/>
      <c r="F474" s="236"/>
      <c r="G474" s="245"/>
      <c r="H474" s="249"/>
      <c r="I474" s="249"/>
      <c r="K474" s="249"/>
    </row>
    <row r="475" spans="1:11" s="46" customFormat="1" ht="12.75">
      <c r="A475" s="49"/>
      <c r="B475" s="49"/>
      <c r="C475" s="49"/>
      <c r="D475" s="49"/>
      <c r="E475" s="48"/>
      <c r="F475" s="236"/>
      <c r="G475" s="245"/>
      <c r="H475" s="249"/>
      <c r="I475" s="249"/>
      <c r="K475" s="249"/>
    </row>
    <row r="476" spans="1:11" s="46" customFormat="1" ht="12.75">
      <c r="A476" s="49"/>
      <c r="B476" s="49"/>
      <c r="C476" s="49"/>
      <c r="D476" s="49"/>
      <c r="E476" s="48"/>
      <c r="F476" s="236"/>
      <c r="G476" s="245"/>
      <c r="H476" s="249"/>
      <c r="I476" s="249"/>
      <c r="K476" s="249"/>
    </row>
    <row r="477" spans="1:11" s="46" customFormat="1" ht="12.75">
      <c r="A477" s="49"/>
      <c r="B477" s="49"/>
      <c r="C477" s="49"/>
      <c r="D477" s="49"/>
      <c r="E477" s="48"/>
      <c r="F477" s="236"/>
      <c r="G477" s="245"/>
      <c r="H477" s="249"/>
      <c r="I477" s="249"/>
      <c r="K477" s="249"/>
    </row>
    <row r="478" spans="1:11" s="46" customFormat="1" ht="12.75">
      <c r="A478" s="49"/>
      <c r="B478" s="49"/>
      <c r="C478" s="49"/>
      <c r="D478" s="49"/>
      <c r="E478" s="48"/>
      <c r="F478" s="236"/>
      <c r="G478" s="245"/>
      <c r="H478" s="249"/>
      <c r="I478" s="249"/>
      <c r="K478" s="249"/>
    </row>
    <row r="479" spans="1:11" s="46" customFormat="1" ht="12.75">
      <c r="A479" s="49"/>
      <c r="B479" s="49"/>
      <c r="C479" s="49"/>
      <c r="D479" s="49"/>
      <c r="E479" s="48"/>
      <c r="F479" s="236"/>
      <c r="G479" s="245"/>
      <c r="H479" s="249"/>
      <c r="I479" s="249"/>
      <c r="K479" s="249"/>
    </row>
    <row r="480" spans="1:11" s="46" customFormat="1" ht="12.75">
      <c r="A480" s="49"/>
      <c r="B480" s="49"/>
      <c r="C480" s="49"/>
      <c r="D480" s="49"/>
      <c r="E480" s="48"/>
      <c r="F480" s="236"/>
      <c r="G480" s="245"/>
      <c r="H480" s="249"/>
      <c r="I480" s="249"/>
      <c r="K480" s="249"/>
    </row>
    <row r="481" spans="1:11" s="46" customFormat="1" ht="12.75">
      <c r="A481" s="49"/>
      <c r="B481" s="49"/>
      <c r="C481" s="49"/>
      <c r="D481" s="49"/>
      <c r="E481" s="48"/>
      <c r="F481" s="236"/>
      <c r="G481" s="245"/>
      <c r="H481" s="249"/>
      <c r="I481" s="249"/>
      <c r="K481" s="249"/>
    </row>
    <row r="482" spans="1:11" s="46" customFormat="1" ht="12.75">
      <c r="A482" s="49"/>
      <c r="B482" s="49"/>
      <c r="C482" s="49"/>
      <c r="D482" s="49"/>
      <c r="E482" s="48"/>
      <c r="F482" s="236"/>
      <c r="G482" s="245"/>
      <c r="H482" s="249"/>
      <c r="I482" s="249"/>
      <c r="K482" s="249"/>
    </row>
    <row r="483" spans="1:11" s="46" customFormat="1" ht="12.75">
      <c r="A483" s="49"/>
      <c r="B483" s="49"/>
      <c r="C483" s="49"/>
      <c r="D483" s="49"/>
      <c r="E483" s="48"/>
      <c r="F483" s="236"/>
      <c r="G483" s="245"/>
      <c r="H483" s="249"/>
      <c r="I483" s="249"/>
      <c r="K483" s="249"/>
    </row>
    <row r="484" spans="1:11" s="46" customFormat="1" ht="12.75">
      <c r="A484" s="49"/>
      <c r="B484" s="49"/>
      <c r="C484" s="49"/>
      <c r="D484" s="49"/>
      <c r="E484" s="48"/>
      <c r="F484" s="236"/>
      <c r="G484" s="245"/>
      <c r="H484" s="249"/>
      <c r="I484" s="249"/>
      <c r="K484" s="249"/>
    </row>
    <row r="485" spans="1:11" s="46" customFormat="1" ht="12.75">
      <c r="A485" s="49"/>
      <c r="B485" s="49"/>
      <c r="C485" s="49"/>
      <c r="D485" s="49"/>
      <c r="E485" s="48"/>
      <c r="F485" s="236"/>
      <c r="G485" s="245"/>
      <c r="H485" s="249"/>
      <c r="I485" s="249"/>
      <c r="K485" s="249"/>
    </row>
    <row r="486" spans="1:11" s="46" customFormat="1" ht="12.75">
      <c r="A486" s="49"/>
      <c r="B486" s="49"/>
      <c r="C486" s="49"/>
      <c r="D486" s="49"/>
      <c r="E486" s="48"/>
      <c r="F486" s="236"/>
      <c r="G486" s="245"/>
      <c r="H486" s="249"/>
      <c r="I486" s="249"/>
      <c r="K486" s="249"/>
    </row>
    <row r="487" spans="1:11" s="46" customFormat="1" ht="12.75">
      <c r="A487" s="49"/>
      <c r="B487" s="49"/>
      <c r="C487" s="49"/>
      <c r="D487" s="49"/>
      <c r="E487" s="48"/>
      <c r="F487" s="236"/>
      <c r="G487" s="245"/>
      <c r="H487" s="249"/>
      <c r="I487" s="249"/>
      <c r="K487" s="249"/>
    </row>
  </sheetData>
  <mergeCells count="1">
    <mergeCell ref="A6:D6"/>
  </mergeCells>
  <printOptions horizontalCentered="1"/>
  <pageMargins left="0.74" right="0.67" top="0.7874015748031497" bottom="0.7874015748031497" header="0.5118110236220472" footer="0.31496062992125984"/>
  <pageSetup firstPageNumber="1" useFirstPageNumber="1" horizontalDpi="600" verticalDpi="600" orientation="portrait" paperSize="9" r:id="rId3"/>
  <headerFooter alignWithMargins="0">
    <oddFooter>&amp;C&amp;8Wydatki - str.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36">
      <selection activeCell="E38" sqref="E38:F38"/>
    </sheetView>
  </sheetViews>
  <sheetFormatPr defaultColWidth="9.00390625" defaultRowHeight="12.75"/>
  <cols>
    <col min="1" max="1" width="5.625" style="10" customWidth="1"/>
    <col min="2" max="2" width="7.875" style="10" customWidth="1"/>
    <col min="3" max="3" width="5.75390625" style="10" customWidth="1"/>
    <col min="4" max="4" width="38.875" style="10" customWidth="1"/>
    <col min="5" max="5" width="16.00390625" style="10" customWidth="1"/>
  </cols>
  <sheetData>
    <row r="1" spans="1:5" ht="12.75">
      <c r="A1" s="75"/>
      <c r="B1" s="75"/>
      <c r="C1" s="75"/>
      <c r="D1" s="75"/>
      <c r="E1" s="130" t="s">
        <v>294</v>
      </c>
    </row>
    <row r="2" spans="1:5" ht="12.75">
      <c r="A2" s="75"/>
      <c r="B2" s="75"/>
      <c r="C2" s="75"/>
      <c r="D2" s="75"/>
      <c r="E2" s="130" t="s">
        <v>352</v>
      </c>
    </row>
    <row r="3" spans="1:5" ht="12.75">
      <c r="A3" s="75"/>
      <c r="B3" s="75"/>
      <c r="C3" s="75"/>
      <c r="D3" s="75"/>
      <c r="E3" s="130" t="s">
        <v>208</v>
      </c>
    </row>
    <row r="4" spans="1:5" ht="12.75">
      <c r="A4" s="75"/>
      <c r="B4" s="75"/>
      <c r="C4" s="75"/>
      <c r="D4" s="75"/>
      <c r="E4" s="130" t="s">
        <v>353</v>
      </c>
    </row>
    <row r="5" spans="1:5" ht="12.75">
      <c r="A5" s="75"/>
      <c r="B5" s="75"/>
      <c r="C5" s="75"/>
      <c r="D5" s="75"/>
      <c r="E5" s="75"/>
    </row>
    <row r="6" spans="1:5" ht="31.5" customHeight="1">
      <c r="A6" s="318" t="s">
        <v>293</v>
      </c>
      <c r="B6" s="318"/>
      <c r="C6" s="318"/>
      <c r="D6" s="318"/>
      <c r="E6" s="318"/>
    </row>
    <row r="7" spans="1:5" ht="12.75">
      <c r="A7" s="134"/>
      <c r="B7" s="134"/>
      <c r="C7" s="134"/>
      <c r="D7" s="135"/>
      <c r="E7" s="141"/>
    </row>
    <row r="8" spans="1:5" s="51" customFormat="1" ht="24.75" customHeight="1">
      <c r="A8" s="178" t="s">
        <v>0</v>
      </c>
      <c r="B8" s="178" t="s">
        <v>1</v>
      </c>
      <c r="C8" s="179" t="s">
        <v>2</v>
      </c>
      <c r="D8" s="178" t="s">
        <v>3</v>
      </c>
      <c r="E8" s="180" t="s">
        <v>171</v>
      </c>
    </row>
    <row r="9" spans="1:5" s="8" customFormat="1" ht="21.75" customHeight="1">
      <c r="A9" s="86" t="s">
        <v>19</v>
      </c>
      <c r="B9" s="76"/>
      <c r="C9" s="128"/>
      <c r="D9" s="142" t="s">
        <v>20</v>
      </c>
      <c r="E9" s="143">
        <f>SUM(E10)</f>
        <v>142600</v>
      </c>
    </row>
    <row r="10" spans="1:5" s="51" customFormat="1" ht="21.75" customHeight="1">
      <c r="A10" s="147"/>
      <c r="B10" s="147">
        <v>75011</v>
      </c>
      <c r="C10" s="148"/>
      <c r="D10" s="91" t="s">
        <v>21</v>
      </c>
      <c r="E10" s="176">
        <f>E11</f>
        <v>142600</v>
      </c>
    </row>
    <row r="11" spans="1:5" s="51" customFormat="1" ht="51.75" customHeight="1">
      <c r="A11" s="147"/>
      <c r="B11" s="169"/>
      <c r="C11" s="149" t="s">
        <v>255</v>
      </c>
      <c r="D11" s="91" t="s">
        <v>218</v>
      </c>
      <c r="E11" s="176">
        <v>142600</v>
      </c>
    </row>
    <row r="12" spans="1:5" s="8" customFormat="1" ht="33.75">
      <c r="A12" s="86">
        <v>751</v>
      </c>
      <c r="B12" s="88"/>
      <c r="C12" s="144"/>
      <c r="D12" s="142" t="s">
        <v>25</v>
      </c>
      <c r="E12" s="145">
        <f>E13</f>
        <v>3737</v>
      </c>
    </row>
    <row r="13" spans="1:5" s="51" customFormat="1" ht="25.5" customHeight="1">
      <c r="A13" s="169"/>
      <c r="B13" s="147">
        <v>75101</v>
      </c>
      <c r="C13" s="148"/>
      <c r="D13" s="91" t="s">
        <v>26</v>
      </c>
      <c r="E13" s="177">
        <f>E14</f>
        <v>3737</v>
      </c>
    </row>
    <row r="14" spans="1:5" s="51" customFormat="1" ht="53.25" customHeight="1">
      <c r="A14" s="169"/>
      <c r="B14" s="147"/>
      <c r="C14" s="149" t="s">
        <v>255</v>
      </c>
      <c r="D14" s="91" t="s">
        <v>218</v>
      </c>
      <c r="E14" s="177">
        <v>3737</v>
      </c>
    </row>
    <row r="15" spans="1:5" s="8" customFormat="1" ht="27.75" customHeight="1">
      <c r="A15" s="86" t="s">
        <v>27</v>
      </c>
      <c r="B15" s="76"/>
      <c r="C15" s="128"/>
      <c r="D15" s="142" t="s">
        <v>172</v>
      </c>
      <c r="E15" s="143">
        <f>E16</f>
        <v>1400</v>
      </c>
    </row>
    <row r="16" spans="1:5" s="51" customFormat="1" ht="20.25" customHeight="1">
      <c r="A16" s="169"/>
      <c r="B16" s="147" t="s">
        <v>29</v>
      </c>
      <c r="C16" s="148"/>
      <c r="D16" s="91" t="s">
        <v>30</v>
      </c>
      <c r="E16" s="176">
        <f>SUM(E17)</f>
        <v>1400</v>
      </c>
    </row>
    <row r="17" spans="1:5" s="51" customFormat="1" ht="50.25" customHeight="1">
      <c r="A17" s="169"/>
      <c r="B17" s="147"/>
      <c r="C17" s="149" t="s">
        <v>255</v>
      </c>
      <c r="D17" s="91" t="s">
        <v>218</v>
      </c>
      <c r="E17" s="176">
        <v>1400</v>
      </c>
    </row>
    <row r="18" spans="1:5" s="95" customFormat="1" ht="48">
      <c r="A18" s="88">
        <v>756</v>
      </c>
      <c r="B18" s="86"/>
      <c r="C18" s="233"/>
      <c r="D18" s="248" t="s">
        <v>223</v>
      </c>
      <c r="E18" s="234">
        <f>SUM(E19)</f>
        <v>145835</v>
      </c>
    </row>
    <row r="19" spans="1:5" s="51" customFormat="1" ht="51" customHeight="1">
      <c r="A19" s="169"/>
      <c r="B19" s="147">
        <v>75615</v>
      </c>
      <c r="C19" s="149"/>
      <c r="D19" s="146" t="s">
        <v>224</v>
      </c>
      <c r="E19" s="176">
        <f>SUM(E20)</f>
        <v>145835</v>
      </c>
    </row>
    <row r="20" spans="1:5" s="51" customFormat="1" ht="33.75">
      <c r="A20" s="169"/>
      <c r="B20" s="147"/>
      <c r="C20" s="149">
        <v>2440</v>
      </c>
      <c r="D20" s="146" t="s">
        <v>271</v>
      </c>
      <c r="E20" s="176">
        <v>145835</v>
      </c>
    </row>
    <row r="21" spans="1:5" s="8" customFormat="1" ht="21.75" customHeight="1">
      <c r="A21" s="86" t="s">
        <v>225</v>
      </c>
      <c r="B21" s="76"/>
      <c r="C21" s="128"/>
      <c r="D21" s="89" t="s">
        <v>277</v>
      </c>
      <c r="E21" s="143">
        <f>SUM(E22,E24,E26,E29,)</f>
        <v>6889400</v>
      </c>
    </row>
    <row r="22" spans="1:5" s="51" customFormat="1" ht="33.75">
      <c r="A22" s="147"/>
      <c r="B22" s="118">
        <v>85212</v>
      </c>
      <c r="C22" s="161"/>
      <c r="D22" s="159" t="s">
        <v>276</v>
      </c>
      <c r="E22" s="174">
        <f>SUM(E23)</f>
        <v>5565000</v>
      </c>
    </row>
    <row r="23" spans="1:5" s="51" customFormat="1" ht="48.75" customHeight="1">
      <c r="A23" s="147"/>
      <c r="B23" s="118"/>
      <c r="C23" s="161">
        <v>2010</v>
      </c>
      <c r="D23" s="91" t="s">
        <v>218</v>
      </c>
      <c r="E23" s="174">
        <v>5565000</v>
      </c>
    </row>
    <row r="24" spans="1:5" s="51" customFormat="1" ht="42.75" customHeight="1">
      <c r="A24" s="147"/>
      <c r="B24" s="169">
        <v>85213</v>
      </c>
      <c r="C24" s="148"/>
      <c r="D24" s="91" t="s">
        <v>274</v>
      </c>
      <c r="E24" s="174">
        <f>SUM(E25)</f>
        <v>160900</v>
      </c>
    </row>
    <row r="25" spans="1:5" s="51" customFormat="1" ht="48" customHeight="1">
      <c r="A25" s="147"/>
      <c r="B25" s="169"/>
      <c r="C25" s="148">
        <v>2010</v>
      </c>
      <c r="D25" s="91" t="s">
        <v>218</v>
      </c>
      <c r="E25" s="174">
        <v>160900</v>
      </c>
    </row>
    <row r="26" spans="1:5" s="51" customFormat="1" ht="24.75" customHeight="1">
      <c r="A26" s="147"/>
      <c r="B26" s="147" t="s">
        <v>226</v>
      </c>
      <c r="C26" s="148"/>
      <c r="D26" s="91" t="s">
        <v>173</v>
      </c>
      <c r="E26" s="176">
        <f>SUM(E27:E28)</f>
        <v>851300</v>
      </c>
    </row>
    <row r="27" spans="1:5" s="51" customFormat="1" ht="48.75" customHeight="1">
      <c r="A27" s="147"/>
      <c r="B27" s="147"/>
      <c r="C27" s="149" t="s">
        <v>255</v>
      </c>
      <c r="D27" s="91" t="s">
        <v>218</v>
      </c>
      <c r="E27" s="176">
        <v>531100</v>
      </c>
    </row>
    <row r="28" spans="1:5" s="51" customFormat="1" ht="35.25" customHeight="1">
      <c r="A28" s="147"/>
      <c r="B28" s="147"/>
      <c r="C28" s="149">
        <v>2030</v>
      </c>
      <c r="D28" s="159" t="s">
        <v>283</v>
      </c>
      <c r="E28" s="176">
        <v>320200</v>
      </c>
    </row>
    <row r="29" spans="1:5" s="51" customFormat="1" ht="23.25" customHeight="1">
      <c r="A29" s="147"/>
      <c r="B29" s="147" t="s">
        <v>227</v>
      </c>
      <c r="C29" s="148"/>
      <c r="D29" s="91" t="s">
        <v>73</v>
      </c>
      <c r="E29" s="176">
        <f>E30</f>
        <v>312200</v>
      </c>
    </row>
    <row r="30" spans="1:5" s="51" customFormat="1" ht="31.5" customHeight="1">
      <c r="A30" s="147"/>
      <c r="B30" s="147"/>
      <c r="C30" s="149">
        <v>2030</v>
      </c>
      <c r="D30" s="159" t="s">
        <v>283</v>
      </c>
      <c r="E30" s="176">
        <v>312200</v>
      </c>
    </row>
    <row r="31" spans="1:5" s="8" customFormat="1" ht="25.5" customHeight="1">
      <c r="A31" s="86" t="s">
        <v>79</v>
      </c>
      <c r="B31" s="76"/>
      <c r="C31" s="128"/>
      <c r="D31" s="89" t="s">
        <v>174</v>
      </c>
      <c r="E31" s="143">
        <f>E32</f>
        <v>45000</v>
      </c>
    </row>
    <row r="32" spans="1:5" s="51" customFormat="1" ht="21.75" customHeight="1">
      <c r="A32" s="147"/>
      <c r="B32" s="147" t="s">
        <v>80</v>
      </c>
      <c r="C32" s="148"/>
      <c r="D32" s="91" t="s">
        <v>81</v>
      </c>
      <c r="E32" s="176">
        <f>E33</f>
        <v>45000</v>
      </c>
    </row>
    <row r="33" spans="1:5" s="51" customFormat="1" ht="37.5" customHeight="1">
      <c r="A33" s="147"/>
      <c r="B33" s="147"/>
      <c r="C33" s="149">
        <v>2320</v>
      </c>
      <c r="D33" s="91" t="s">
        <v>66</v>
      </c>
      <c r="E33" s="176">
        <v>45000</v>
      </c>
    </row>
    <row r="34" spans="1:5" s="51" customFormat="1" ht="19.5" customHeight="1">
      <c r="A34" s="218"/>
      <c r="B34" s="219"/>
      <c r="C34" s="220"/>
      <c r="D34" s="221" t="s">
        <v>84</v>
      </c>
      <c r="E34" s="234">
        <f>SUM(E31,E21,E18,E15,E12,E9,)</f>
        <v>7227972</v>
      </c>
    </row>
    <row r="38" ht="12.75">
      <c r="E38" s="246"/>
    </row>
  </sheetData>
  <mergeCells count="1">
    <mergeCell ref="A6:E6"/>
  </mergeCells>
  <printOptions horizontalCentered="1"/>
  <pageMargins left="0.984251968503937" right="0.7874015748031497" top="0.7874015748031497" bottom="0.7874015748031497" header="0.5118110236220472" footer="0.31496062992125984"/>
  <pageSetup firstPageNumber="1" useFirstPageNumber="1" horizontalDpi="600" verticalDpi="600" orientation="portrait" paperSize="9" r:id="rId1"/>
  <headerFooter alignWithMargins="0">
    <oddFooter>&amp;C&amp;8Dotacje - str.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workbookViewId="0" topLeftCell="A1">
      <selection activeCell="J13" sqref="J13"/>
    </sheetView>
  </sheetViews>
  <sheetFormatPr defaultColWidth="9.00390625" defaultRowHeight="12.75"/>
  <cols>
    <col min="1" max="1" width="6.00390625" style="10" customWidth="1"/>
    <col min="2" max="2" width="7.875" style="10" customWidth="1"/>
    <col min="3" max="3" width="4.75390625" style="10" customWidth="1"/>
    <col min="4" max="4" width="38.625" style="10" customWidth="1"/>
    <col min="5" max="5" width="12.125" style="10" hidden="1" customWidth="1"/>
    <col min="6" max="6" width="17.375" style="0" hidden="1" customWidth="1"/>
    <col min="7" max="7" width="11.375" style="0" hidden="1" customWidth="1"/>
    <col min="8" max="8" width="17.00390625" style="0" customWidth="1"/>
  </cols>
  <sheetData>
    <row r="1" spans="6:8" ht="12.75">
      <c r="F1" s="130" t="s">
        <v>294</v>
      </c>
      <c r="G1" s="130"/>
      <c r="H1" s="130"/>
    </row>
    <row r="2" spans="6:8" ht="12.75">
      <c r="F2" s="130" t="s">
        <v>222</v>
      </c>
      <c r="G2" s="130"/>
      <c r="H2" s="130"/>
    </row>
    <row r="3" spans="6:8" ht="12.75">
      <c r="F3" s="130" t="s">
        <v>208</v>
      </c>
      <c r="G3" s="130"/>
      <c r="H3" s="130"/>
    </row>
    <row r="4" spans="6:8" ht="12.75">
      <c r="F4" s="130" t="s">
        <v>289</v>
      </c>
      <c r="G4" s="130"/>
      <c r="H4" s="130"/>
    </row>
    <row r="5" spans="1:5" ht="33" customHeight="1">
      <c r="A5" s="319" t="s">
        <v>295</v>
      </c>
      <c r="B5" s="319"/>
      <c r="C5" s="319"/>
      <c r="D5" s="319"/>
      <c r="E5" s="319"/>
    </row>
    <row r="6" spans="1:5" ht="15" customHeight="1">
      <c r="A6" s="17"/>
      <c r="B6" s="17"/>
      <c r="C6" s="17"/>
      <c r="D6" s="85"/>
      <c r="E6" s="93"/>
    </row>
    <row r="7" spans="1:8" ht="29.25" customHeight="1">
      <c r="A7" s="184" t="s">
        <v>0</v>
      </c>
      <c r="B7" s="184" t="s">
        <v>1</v>
      </c>
      <c r="C7" s="184" t="s">
        <v>2</v>
      </c>
      <c r="D7" s="184" t="s">
        <v>3</v>
      </c>
      <c r="E7" s="186" t="s">
        <v>171</v>
      </c>
      <c r="F7" s="184" t="s">
        <v>345</v>
      </c>
      <c r="G7" s="184" t="s">
        <v>338</v>
      </c>
      <c r="H7" s="276" t="s">
        <v>171</v>
      </c>
    </row>
    <row r="8" spans="1:8" ht="21.75" customHeight="1">
      <c r="A8" s="188" t="s">
        <v>320</v>
      </c>
      <c r="B8" s="189"/>
      <c r="C8" s="189"/>
      <c r="D8" s="189"/>
      <c r="E8" s="35">
        <f>SUM(E9,E21,E28,)</f>
        <v>4523000</v>
      </c>
      <c r="F8" s="35">
        <f>SUM(F9,F21,F28,)</f>
        <v>52150</v>
      </c>
      <c r="G8" s="35">
        <f>SUM(G9,G21,G28,)</f>
        <v>47081</v>
      </c>
      <c r="H8" s="35">
        <f>SUM(H9,H21,H28,)</f>
        <v>4528069</v>
      </c>
    </row>
    <row r="9" spans="1:8" s="8" customFormat="1" ht="21.75" customHeight="1">
      <c r="A9" s="83">
        <v>801</v>
      </c>
      <c r="B9" s="6"/>
      <c r="C9" s="27"/>
      <c r="D9" s="43" t="s">
        <v>133</v>
      </c>
      <c r="E9" s="35">
        <f>SUM(E18,E13,E10,)</f>
        <v>2769180</v>
      </c>
      <c r="F9" s="35">
        <f>SUM(F18,F13,F10,)</f>
        <v>6319</v>
      </c>
      <c r="G9" s="35">
        <f>SUM(G18,G13,G10,)</f>
        <v>47081</v>
      </c>
      <c r="H9" s="35">
        <f>SUM(H18,H13,H10,)</f>
        <v>2728418</v>
      </c>
    </row>
    <row r="10" spans="1:8" s="8" customFormat="1" ht="21.75" customHeight="1">
      <c r="A10" s="3"/>
      <c r="B10" s="4">
        <v>80101</v>
      </c>
      <c r="C10" s="19"/>
      <c r="D10" s="20" t="s">
        <v>64</v>
      </c>
      <c r="E10" s="36">
        <f aca="true" t="shared" si="0" ref="E10:H11">SUM(E11)</f>
        <v>133094</v>
      </c>
      <c r="F10" s="36">
        <f t="shared" si="0"/>
        <v>6319</v>
      </c>
      <c r="G10" s="36">
        <f t="shared" si="0"/>
        <v>0</v>
      </c>
      <c r="H10" s="36">
        <f t="shared" si="0"/>
        <v>139413</v>
      </c>
    </row>
    <row r="11" spans="1:8" s="193" customFormat="1" ht="22.5">
      <c r="A11" s="190"/>
      <c r="B11" s="191"/>
      <c r="C11" s="192">
        <v>2540</v>
      </c>
      <c r="D11" s="222" t="s">
        <v>267</v>
      </c>
      <c r="E11" s="36">
        <f t="shared" si="0"/>
        <v>133094</v>
      </c>
      <c r="F11" s="36">
        <f t="shared" si="0"/>
        <v>6319</v>
      </c>
      <c r="G11" s="36">
        <f t="shared" si="0"/>
        <v>0</v>
      </c>
      <c r="H11" s="36">
        <f t="shared" si="0"/>
        <v>139413</v>
      </c>
    </row>
    <row r="12" spans="1:8" s="23" customFormat="1" ht="21.75" customHeight="1">
      <c r="A12" s="321" t="s">
        <v>268</v>
      </c>
      <c r="B12" s="321"/>
      <c r="C12" s="321"/>
      <c r="D12" s="321"/>
      <c r="E12" s="196">
        <v>133094</v>
      </c>
      <c r="F12" s="175">
        <v>6319</v>
      </c>
      <c r="G12" s="274"/>
      <c r="H12" s="195">
        <f>SUM(E12+F12-G12)</f>
        <v>139413</v>
      </c>
    </row>
    <row r="13" spans="1:8" s="8" customFormat="1" ht="21.75" customHeight="1">
      <c r="A13" s="83"/>
      <c r="B13" s="12">
        <v>80104</v>
      </c>
      <c r="C13" s="4"/>
      <c r="D13" s="20" t="s">
        <v>148</v>
      </c>
      <c r="E13" s="36">
        <f>SUM(E14,E16)</f>
        <v>2626193</v>
      </c>
      <c r="F13" s="36">
        <f>SUM(F14,F16)</f>
        <v>0</v>
      </c>
      <c r="G13" s="36">
        <f>SUM(G14,G16)</f>
        <v>47081</v>
      </c>
      <c r="H13" s="36">
        <f>SUM(H14,H16)</f>
        <v>2579112</v>
      </c>
    </row>
    <row r="14" spans="1:8" s="8" customFormat="1" ht="22.5">
      <c r="A14" s="83"/>
      <c r="B14" s="3"/>
      <c r="C14" s="4">
        <v>2510</v>
      </c>
      <c r="D14" s="28" t="s">
        <v>149</v>
      </c>
      <c r="E14" s="36">
        <f>SUM(E15)</f>
        <v>2553473</v>
      </c>
      <c r="F14" s="36">
        <f>SUM(F15)</f>
        <v>0</v>
      </c>
      <c r="G14" s="36">
        <f>SUM(G15)</f>
        <v>46911</v>
      </c>
      <c r="H14" s="36">
        <f>SUM(H15)</f>
        <v>2506562</v>
      </c>
    </row>
    <row r="15" spans="1:8" s="8" customFormat="1" ht="21.75" customHeight="1">
      <c r="A15" s="321" t="s">
        <v>180</v>
      </c>
      <c r="B15" s="321"/>
      <c r="C15" s="321"/>
      <c r="D15" s="321"/>
      <c r="E15" s="117">
        <f>2653473-100000</f>
        <v>2553473</v>
      </c>
      <c r="F15" s="273"/>
      <c r="G15" s="195">
        <v>46911</v>
      </c>
      <c r="H15" s="195">
        <f>SUM(E15+F15-G15)</f>
        <v>2506562</v>
      </c>
    </row>
    <row r="16" spans="1:8" s="8" customFormat="1" ht="22.5">
      <c r="A16" s="164"/>
      <c r="B16" s="164"/>
      <c r="C16" s="19">
        <v>2540</v>
      </c>
      <c r="D16" s="222" t="s">
        <v>267</v>
      </c>
      <c r="E16" s="243">
        <f>SUM(E17)</f>
        <v>72720</v>
      </c>
      <c r="F16" s="243">
        <f>SUM(F17)</f>
        <v>0</v>
      </c>
      <c r="G16" s="243">
        <f>SUM(G17)</f>
        <v>170</v>
      </c>
      <c r="H16" s="243">
        <f>SUM(H17)</f>
        <v>72550</v>
      </c>
    </row>
    <row r="17" spans="1:8" s="8" customFormat="1" ht="28.5" customHeight="1">
      <c r="A17" s="322" t="s">
        <v>327</v>
      </c>
      <c r="B17" s="323"/>
      <c r="C17" s="323"/>
      <c r="D17" s="324"/>
      <c r="E17" s="242">
        <v>72720</v>
      </c>
      <c r="F17" s="273"/>
      <c r="G17" s="195">
        <v>170</v>
      </c>
      <c r="H17" s="195">
        <f>SUM(E17+F17-G17)</f>
        <v>72550</v>
      </c>
    </row>
    <row r="18" spans="1:8" s="8" customFormat="1" ht="25.5" customHeight="1">
      <c r="A18" s="83"/>
      <c r="B18" s="3">
        <v>80146</v>
      </c>
      <c r="C18" s="4"/>
      <c r="D18" s="74" t="s">
        <v>212</v>
      </c>
      <c r="E18" s="206">
        <f aca="true" t="shared" si="1" ref="E18:H19">SUM(E19)</f>
        <v>9893</v>
      </c>
      <c r="F18" s="206">
        <f t="shared" si="1"/>
        <v>0</v>
      </c>
      <c r="G18" s="206">
        <f t="shared" si="1"/>
        <v>0</v>
      </c>
      <c r="H18" s="206">
        <f t="shared" si="1"/>
        <v>9893</v>
      </c>
    </row>
    <row r="19" spans="1:8" s="8" customFormat="1" ht="22.5">
      <c r="A19" s="83"/>
      <c r="B19" s="3"/>
      <c r="C19" s="4">
        <v>2510</v>
      </c>
      <c r="D19" s="28" t="s">
        <v>149</v>
      </c>
      <c r="E19" s="206">
        <f t="shared" si="1"/>
        <v>9893</v>
      </c>
      <c r="F19" s="206">
        <f t="shared" si="1"/>
        <v>0</v>
      </c>
      <c r="G19" s="206">
        <f t="shared" si="1"/>
        <v>0</v>
      </c>
      <c r="H19" s="206">
        <f t="shared" si="1"/>
        <v>9893</v>
      </c>
    </row>
    <row r="20" spans="1:8" s="8" customFormat="1" ht="21.75" customHeight="1">
      <c r="A20" s="321" t="s">
        <v>180</v>
      </c>
      <c r="B20" s="321"/>
      <c r="C20" s="321"/>
      <c r="D20" s="321"/>
      <c r="E20" s="196">
        <v>9893</v>
      </c>
      <c r="F20" s="273"/>
      <c r="G20" s="273"/>
      <c r="H20" s="195">
        <f>SUM(E20+F20-G20)</f>
        <v>9893</v>
      </c>
    </row>
    <row r="21" spans="1:8" s="8" customFormat="1" ht="23.25" customHeight="1">
      <c r="A21" s="83">
        <v>854</v>
      </c>
      <c r="B21" s="6"/>
      <c r="C21" s="45"/>
      <c r="D21" s="43" t="s">
        <v>74</v>
      </c>
      <c r="E21" s="35">
        <f>SUM(E22,E25)</f>
        <v>227390</v>
      </c>
      <c r="F21" s="35">
        <f>SUM(F22,F25)</f>
        <v>831</v>
      </c>
      <c r="G21" s="35">
        <f>SUM(G22,G25)</f>
        <v>0</v>
      </c>
      <c r="H21" s="35">
        <f>SUM(H22,H25)</f>
        <v>228221</v>
      </c>
    </row>
    <row r="22" spans="1:8" s="8" customFormat="1" ht="21.75" customHeight="1">
      <c r="A22" s="3"/>
      <c r="B22" s="3">
        <v>85495</v>
      </c>
      <c r="C22" s="5"/>
      <c r="D22" s="20" t="s">
        <v>6</v>
      </c>
      <c r="E22" s="36">
        <f aca="true" t="shared" si="2" ref="E22:H23">SUM(E23)</f>
        <v>200000</v>
      </c>
      <c r="F22" s="36">
        <f t="shared" si="2"/>
        <v>0</v>
      </c>
      <c r="G22" s="36">
        <f t="shared" si="2"/>
        <v>0</v>
      </c>
      <c r="H22" s="36">
        <f t="shared" si="2"/>
        <v>200000</v>
      </c>
    </row>
    <row r="23" spans="1:8" s="10" customFormat="1" ht="45">
      <c r="A23" s="3"/>
      <c r="B23" s="3"/>
      <c r="C23" s="5">
        <v>2320</v>
      </c>
      <c r="D23" s="28" t="s">
        <v>215</v>
      </c>
      <c r="E23" s="36">
        <f t="shared" si="2"/>
        <v>200000</v>
      </c>
      <c r="F23" s="36">
        <f t="shared" si="2"/>
        <v>0</v>
      </c>
      <c r="G23" s="36">
        <f t="shared" si="2"/>
        <v>0</v>
      </c>
      <c r="H23" s="36">
        <f t="shared" si="2"/>
        <v>200000</v>
      </c>
    </row>
    <row r="24" spans="1:8" ht="29.25" customHeight="1">
      <c r="A24" s="320" t="s">
        <v>181</v>
      </c>
      <c r="B24" s="320"/>
      <c r="C24" s="320"/>
      <c r="D24" s="320"/>
      <c r="E24" s="113">
        <v>200000</v>
      </c>
      <c r="F24" s="113"/>
      <c r="G24" s="113"/>
      <c r="H24" s="113">
        <v>200000</v>
      </c>
    </row>
    <row r="25" spans="1:8" ht="21.75" customHeight="1">
      <c r="A25" s="255"/>
      <c r="B25" s="3">
        <v>85495</v>
      </c>
      <c r="C25" s="3"/>
      <c r="D25" s="20" t="s">
        <v>6</v>
      </c>
      <c r="E25" s="126">
        <f aca="true" t="shared" si="3" ref="E25:H26">SUM(E26)</f>
        <v>27390</v>
      </c>
      <c r="F25" s="126">
        <f t="shared" si="3"/>
        <v>831</v>
      </c>
      <c r="G25" s="126">
        <f t="shared" si="3"/>
        <v>0</v>
      </c>
      <c r="H25" s="126">
        <f t="shared" si="3"/>
        <v>28221</v>
      </c>
    </row>
    <row r="26" spans="1:8" ht="45">
      <c r="A26" s="255"/>
      <c r="B26" s="3"/>
      <c r="C26" s="3">
        <v>2320</v>
      </c>
      <c r="D26" s="91" t="s">
        <v>220</v>
      </c>
      <c r="E26" s="126">
        <f t="shared" si="3"/>
        <v>27390</v>
      </c>
      <c r="F26" s="126">
        <f t="shared" si="3"/>
        <v>831</v>
      </c>
      <c r="G26" s="126">
        <f t="shared" si="3"/>
        <v>0</v>
      </c>
      <c r="H26" s="126">
        <f t="shared" si="3"/>
        <v>28221</v>
      </c>
    </row>
    <row r="27" spans="1:8" ht="21.75" customHeight="1">
      <c r="A27" s="325" t="s">
        <v>269</v>
      </c>
      <c r="B27" s="325"/>
      <c r="C27" s="325"/>
      <c r="D27" s="325"/>
      <c r="E27" s="194">
        <v>27390</v>
      </c>
      <c r="F27" s="175">
        <v>831</v>
      </c>
      <c r="G27" s="272"/>
      <c r="H27" s="195">
        <f>SUM(E27+F27-G27)</f>
        <v>28221</v>
      </c>
    </row>
    <row r="28" spans="1:8" s="8" customFormat="1" ht="27.75" customHeight="1">
      <c r="A28" s="83" t="s">
        <v>79</v>
      </c>
      <c r="B28" s="6"/>
      <c r="C28" s="45"/>
      <c r="D28" s="43" t="s">
        <v>165</v>
      </c>
      <c r="E28" s="35">
        <f>SUM(E31,E36,E39,)</f>
        <v>1526430</v>
      </c>
      <c r="F28" s="35">
        <f>SUM(F31,F36,F39,)</f>
        <v>45000</v>
      </c>
      <c r="G28" s="35">
        <f>SUM(G31,G36,G39,)</f>
        <v>0</v>
      </c>
      <c r="H28" s="35">
        <f>SUM(H31,H36,H39,)</f>
        <v>1571430</v>
      </c>
    </row>
    <row r="29" spans="1:8" s="8" customFormat="1" ht="12.75">
      <c r="A29" s="3"/>
      <c r="B29" s="3" t="s">
        <v>166</v>
      </c>
      <c r="C29" s="5"/>
      <c r="D29" s="20" t="s">
        <v>216</v>
      </c>
      <c r="E29" s="36">
        <f>SUM(E30)</f>
        <v>382200</v>
      </c>
      <c r="F29" s="36">
        <f aca="true" t="shared" si="4" ref="F29:H30">SUM(F30)</f>
        <v>0</v>
      </c>
      <c r="G29" s="36">
        <f t="shared" si="4"/>
        <v>0</v>
      </c>
      <c r="H29" s="36">
        <f t="shared" si="4"/>
        <v>382200</v>
      </c>
    </row>
    <row r="30" spans="1:8" s="10" customFormat="1" ht="22.5">
      <c r="A30" s="3"/>
      <c r="B30" s="3"/>
      <c r="C30" s="4">
        <v>2480</v>
      </c>
      <c r="D30" s="28" t="s">
        <v>309</v>
      </c>
      <c r="E30" s="36">
        <f>SUM(E31)</f>
        <v>382200</v>
      </c>
      <c r="F30" s="36">
        <f t="shared" si="4"/>
        <v>0</v>
      </c>
      <c r="G30" s="36">
        <f t="shared" si="4"/>
        <v>0</v>
      </c>
      <c r="H30" s="36">
        <f t="shared" si="4"/>
        <v>382200</v>
      </c>
    </row>
    <row r="31" spans="1:8" ht="21.75" customHeight="1">
      <c r="A31" s="320" t="s">
        <v>182</v>
      </c>
      <c r="B31" s="315"/>
      <c r="C31" s="315"/>
      <c r="D31" s="315"/>
      <c r="E31" s="194">
        <v>382200</v>
      </c>
      <c r="F31" s="277"/>
      <c r="G31" s="277"/>
      <c r="H31" s="195">
        <f>SUM(E31+F31-G31)</f>
        <v>382200</v>
      </c>
    </row>
    <row r="32" spans="1:8" s="8" customFormat="1" ht="21.75" customHeight="1">
      <c r="A32" s="3"/>
      <c r="B32" s="3" t="s">
        <v>80</v>
      </c>
      <c r="C32" s="5"/>
      <c r="D32" s="20" t="s">
        <v>81</v>
      </c>
      <c r="E32" s="36">
        <f>SUM(E33:E33)</f>
        <v>753500</v>
      </c>
      <c r="F32" s="36">
        <f>SUM(F33:F33)</f>
        <v>45000</v>
      </c>
      <c r="G32" s="36">
        <f>SUM(G33:G33)</f>
        <v>0</v>
      </c>
      <c r="H32" s="36">
        <f>SUM(H33:H33)</f>
        <v>798500</v>
      </c>
    </row>
    <row r="33" spans="1:8" s="10" customFormat="1" ht="22.5">
      <c r="A33" s="3"/>
      <c r="B33" s="3"/>
      <c r="C33" s="4">
        <v>2480</v>
      </c>
      <c r="D33" s="28" t="s">
        <v>309</v>
      </c>
      <c r="E33" s="253">
        <v>753500</v>
      </c>
      <c r="F33" s="195">
        <v>45000</v>
      </c>
      <c r="G33" s="275"/>
      <c r="H33" s="41">
        <f>SUM(E33+F33-G33)</f>
        <v>798500</v>
      </c>
    </row>
    <row r="34" spans="1:8" s="10" customFormat="1" ht="21.75" customHeight="1">
      <c r="A34" s="3"/>
      <c r="B34" s="3" t="s">
        <v>80</v>
      </c>
      <c r="C34" s="5"/>
      <c r="D34" s="20" t="s">
        <v>310</v>
      </c>
      <c r="E34" s="206">
        <f>SUM(E35)</f>
        <v>45000</v>
      </c>
      <c r="F34" s="206">
        <f>SUM(F35)</f>
        <v>0</v>
      </c>
      <c r="G34" s="206">
        <f>SUM(G35)</f>
        <v>0</v>
      </c>
      <c r="H34" s="206">
        <f>SUM(H35)</f>
        <v>45000</v>
      </c>
    </row>
    <row r="35" spans="1:8" s="10" customFormat="1" ht="22.5">
      <c r="A35" s="3"/>
      <c r="B35" s="3"/>
      <c r="C35" s="4">
        <v>2480</v>
      </c>
      <c r="D35" s="28" t="s">
        <v>309</v>
      </c>
      <c r="E35" s="254">
        <v>45000</v>
      </c>
      <c r="F35" s="275"/>
      <c r="G35" s="275"/>
      <c r="H35" s="41">
        <f>SUM(E35+F35-G35)</f>
        <v>45000</v>
      </c>
    </row>
    <row r="36" spans="1:8" ht="21.75" customHeight="1">
      <c r="A36" s="320" t="s">
        <v>183</v>
      </c>
      <c r="B36" s="315"/>
      <c r="C36" s="315"/>
      <c r="D36" s="315"/>
      <c r="E36" s="194">
        <f>SUM(E32,E34,)</f>
        <v>798500</v>
      </c>
      <c r="F36" s="194">
        <f>SUM(F32,F34,)</f>
        <v>45000</v>
      </c>
      <c r="G36" s="194">
        <f>SUM(G32,G34,)</f>
        <v>0</v>
      </c>
      <c r="H36" s="194">
        <f>SUM(H32,H34,)</f>
        <v>843500</v>
      </c>
    </row>
    <row r="37" spans="1:8" s="8" customFormat="1" ht="21.75" customHeight="1">
      <c r="A37" s="3"/>
      <c r="B37" s="3" t="s">
        <v>168</v>
      </c>
      <c r="C37" s="4"/>
      <c r="D37" s="20" t="s">
        <v>169</v>
      </c>
      <c r="E37" s="36">
        <f>E38</f>
        <v>345730</v>
      </c>
      <c r="F37" s="36">
        <f>F38</f>
        <v>0</v>
      </c>
      <c r="G37" s="36">
        <f>G38</f>
        <v>0</v>
      </c>
      <c r="H37" s="36">
        <f>H38</f>
        <v>345730</v>
      </c>
    </row>
    <row r="38" spans="1:8" s="10" customFormat="1" ht="22.5">
      <c r="A38" s="3"/>
      <c r="B38" s="3"/>
      <c r="C38" s="4">
        <v>2480</v>
      </c>
      <c r="D38" s="28" t="s">
        <v>309</v>
      </c>
      <c r="E38" s="36">
        <f>SUM(E39)</f>
        <v>345730</v>
      </c>
      <c r="F38" s="36">
        <f>SUM(F39)</f>
        <v>0</v>
      </c>
      <c r="G38" s="36">
        <f>SUM(G39)</f>
        <v>0</v>
      </c>
      <c r="H38" s="36">
        <f>SUM(H39)</f>
        <v>345730</v>
      </c>
    </row>
    <row r="39" spans="1:8" ht="21.75" customHeight="1">
      <c r="A39" s="312" t="s">
        <v>184</v>
      </c>
      <c r="B39" s="313"/>
      <c r="C39" s="313"/>
      <c r="D39" s="314"/>
      <c r="E39" s="194">
        <v>345730</v>
      </c>
      <c r="F39" s="272"/>
      <c r="G39" s="272"/>
      <c r="H39" s="195">
        <f>SUM(E39+F39-G39)</f>
        <v>345730</v>
      </c>
    </row>
    <row r="40" spans="1:8" ht="18.75" customHeight="1">
      <c r="A40" s="17"/>
      <c r="B40" s="17"/>
      <c r="C40" s="17"/>
      <c r="D40" s="123" t="s">
        <v>84</v>
      </c>
      <c r="E40" s="124">
        <f>SUM(E8)</f>
        <v>4523000</v>
      </c>
      <c r="F40" s="124">
        <f>SUM(F8)</f>
        <v>52150</v>
      </c>
      <c r="G40" s="124">
        <f>SUM(G8)</f>
        <v>47081</v>
      </c>
      <c r="H40" s="124">
        <f>SUM(H8)</f>
        <v>4528069</v>
      </c>
    </row>
    <row r="42" ht="12.75">
      <c r="G42" s="229"/>
    </row>
    <row r="80" ht="12.75">
      <c r="E80" s="69"/>
    </row>
    <row r="81" ht="12.75">
      <c r="E81" s="69"/>
    </row>
    <row r="82" ht="12.75">
      <c r="E82" s="69"/>
    </row>
    <row r="83" ht="12.75">
      <c r="E83" s="69"/>
    </row>
  </sheetData>
  <mergeCells count="10">
    <mergeCell ref="A5:E5"/>
    <mergeCell ref="A24:D24"/>
    <mergeCell ref="A39:D39"/>
    <mergeCell ref="A36:D36"/>
    <mergeCell ref="A31:D31"/>
    <mergeCell ref="A12:D12"/>
    <mergeCell ref="A20:D20"/>
    <mergeCell ref="A17:D17"/>
    <mergeCell ref="A27:D27"/>
    <mergeCell ref="A15:D15"/>
  </mergeCells>
  <printOptions horizontalCentered="1"/>
  <pageMargins left="0.984251968503937" right="0.6" top="0.7874015748031497" bottom="0.7874015748031497" header="0.5118110236220472" footer="0.31496062992125984"/>
  <pageSetup firstPageNumber="3" useFirstPageNumber="1" horizontalDpi="600" verticalDpi="600" orientation="portrait" paperSize="9" r:id="rId1"/>
  <headerFooter alignWithMargins="0">
    <oddFooter>&amp;C&amp;8Dotacje - str.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L12" sqref="L12"/>
    </sheetView>
  </sheetViews>
  <sheetFormatPr defaultColWidth="9.00390625" defaultRowHeight="12.75"/>
  <cols>
    <col min="1" max="1" width="6.25390625" style="10" customWidth="1"/>
    <col min="2" max="2" width="7.25390625" style="10" bestFit="1" customWidth="1"/>
    <col min="3" max="3" width="5.875" style="10" customWidth="1"/>
    <col min="4" max="4" width="32.00390625" style="10" customWidth="1"/>
    <col min="5" max="5" width="11.375" style="69" hidden="1" customWidth="1"/>
    <col min="6" max="6" width="17.375" style="0" hidden="1" customWidth="1"/>
    <col min="7" max="7" width="11.375" style="0" hidden="1" customWidth="1"/>
    <col min="8" max="8" width="15.125" style="0" customWidth="1"/>
  </cols>
  <sheetData>
    <row r="1" spans="5:8" ht="12">
      <c r="E1" s="130"/>
      <c r="F1" s="130"/>
      <c r="G1" s="130"/>
      <c r="H1" s="130" t="s">
        <v>205</v>
      </c>
    </row>
    <row r="2" spans="5:8" ht="12">
      <c r="E2" s="130"/>
      <c r="F2" s="130"/>
      <c r="G2" s="130"/>
      <c r="H2" s="130" t="s">
        <v>352</v>
      </c>
    </row>
    <row r="3" spans="5:8" ht="12">
      <c r="E3" s="130"/>
      <c r="F3" s="130"/>
      <c r="G3" s="130"/>
      <c r="H3" s="130" t="s">
        <v>208</v>
      </c>
    </row>
    <row r="4" spans="5:8" ht="12">
      <c r="E4" s="130"/>
      <c r="F4" s="130"/>
      <c r="G4" s="130"/>
      <c r="H4" s="130" t="s">
        <v>353</v>
      </c>
    </row>
    <row r="5" ht="12.75"/>
    <row r="6" spans="1:4" ht="45.75" customHeight="1">
      <c r="A6" s="326" t="s">
        <v>296</v>
      </c>
      <c r="B6" s="326"/>
      <c r="C6" s="326"/>
      <c r="D6" s="326"/>
    </row>
    <row r="7" spans="1:4" ht="12.75">
      <c r="A7" s="96"/>
      <c r="B7" s="96"/>
      <c r="C7" s="96"/>
      <c r="D7" s="96"/>
    </row>
    <row r="8" spans="1:8" s="51" customFormat="1" ht="24.75" customHeight="1">
      <c r="A8" s="26" t="s">
        <v>0</v>
      </c>
      <c r="B8" s="26" t="s">
        <v>1</v>
      </c>
      <c r="C8" s="26" t="s">
        <v>2</v>
      </c>
      <c r="D8" s="32" t="s">
        <v>3</v>
      </c>
      <c r="E8" s="40" t="s">
        <v>171</v>
      </c>
      <c r="F8" s="184" t="s">
        <v>345</v>
      </c>
      <c r="G8" s="184" t="s">
        <v>338</v>
      </c>
      <c r="H8" s="276" t="s">
        <v>171</v>
      </c>
    </row>
    <row r="9" spans="1:8" s="51" customFormat="1" ht="19.5" customHeight="1">
      <c r="A9" s="83" t="s">
        <v>19</v>
      </c>
      <c r="B9" s="6"/>
      <c r="C9" s="45"/>
      <c r="D9" s="81" t="s">
        <v>20</v>
      </c>
      <c r="E9" s="97">
        <f>SUM(E10)</f>
        <v>142600</v>
      </c>
      <c r="F9" s="97">
        <f>SUM(F10)</f>
        <v>0</v>
      </c>
      <c r="G9" s="97">
        <f>SUM(G10)</f>
        <v>0</v>
      </c>
      <c r="H9" s="97">
        <f>SUM(H10)</f>
        <v>142600</v>
      </c>
    </row>
    <row r="10" spans="1:8" s="51" customFormat="1" ht="19.5" customHeight="1">
      <c r="A10" s="153"/>
      <c r="B10" s="153">
        <v>75011</v>
      </c>
      <c r="C10" s="162"/>
      <c r="D10" s="159" t="s">
        <v>21</v>
      </c>
      <c r="E10" s="175">
        <f>SUM(E11:E15)</f>
        <v>142600</v>
      </c>
      <c r="F10" s="175">
        <f>SUM(F11:F15)</f>
        <v>0</v>
      </c>
      <c r="G10" s="175">
        <f>SUM(G11:G15)</f>
        <v>0</v>
      </c>
      <c r="H10" s="175">
        <f>SUM(H11:H15)</f>
        <v>142600</v>
      </c>
    </row>
    <row r="11" spans="1:8" s="51" customFormat="1" ht="21.75" customHeight="1">
      <c r="A11" s="153"/>
      <c r="B11" s="118"/>
      <c r="C11" s="154">
        <v>4010</v>
      </c>
      <c r="D11" s="159" t="s">
        <v>102</v>
      </c>
      <c r="E11" s="175">
        <v>102329</v>
      </c>
      <c r="F11" s="175"/>
      <c r="G11" s="175"/>
      <c r="H11" s="175">
        <f>SUM(E11+F11-G11)</f>
        <v>102329</v>
      </c>
    </row>
    <row r="12" spans="1:8" s="51" customFormat="1" ht="21.75" customHeight="1">
      <c r="A12" s="153"/>
      <c r="B12" s="118"/>
      <c r="C12" s="154">
        <v>4040</v>
      </c>
      <c r="D12" s="159" t="s">
        <v>103</v>
      </c>
      <c r="E12" s="175">
        <v>14500</v>
      </c>
      <c r="F12" s="175"/>
      <c r="G12" s="175"/>
      <c r="H12" s="175">
        <f>SUM(E12+F12-G12)</f>
        <v>14500</v>
      </c>
    </row>
    <row r="13" spans="1:8" s="51" customFormat="1" ht="21.75" customHeight="1">
      <c r="A13" s="153"/>
      <c r="B13" s="118"/>
      <c r="C13" s="154">
        <v>4110</v>
      </c>
      <c r="D13" s="159" t="s">
        <v>104</v>
      </c>
      <c r="E13" s="175">
        <v>17766</v>
      </c>
      <c r="F13" s="175"/>
      <c r="G13" s="175"/>
      <c r="H13" s="175">
        <f>SUM(E13+F13-G13)</f>
        <v>17766</v>
      </c>
    </row>
    <row r="14" spans="1:8" s="51" customFormat="1" ht="19.5" customHeight="1">
      <c r="A14" s="153"/>
      <c r="B14" s="118"/>
      <c r="C14" s="154">
        <v>4120</v>
      </c>
      <c r="D14" s="159" t="s">
        <v>105</v>
      </c>
      <c r="E14" s="175">
        <v>2570</v>
      </c>
      <c r="F14" s="175"/>
      <c r="G14" s="175"/>
      <c r="H14" s="175">
        <f>SUM(E14+F14-G14)</f>
        <v>2570</v>
      </c>
    </row>
    <row r="15" spans="1:8" s="51" customFormat="1" ht="24" customHeight="1">
      <c r="A15" s="153"/>
      <c r="B15" s="118"/>
      <c r="C15" s="155">
        <v>4440</v>
      </c>
      <c r="D15" s="159" t="s">
        <v>106</v>
      </c>
      <c r="E15" s="175">
        <v>5435</v>
      </c>
      <c r="F15" s="175"/>
      <c r="G15" s="175"/>
      <c r="H15" s="175">
        <f>SUM(E15+F15-G15)</f>
        <v>5435</v>
      </c>
    </row>
    <row r="16" spans="1:8" s="51" customFormat="1" ht="36">
      <c r="A16" s="83">
        <v>751</v>
      </c>
      <c r="B16" s="6"/>
      <c r="C16" s="45"/>
      <c r="D16" s="81" t="s">
        <v>25</v>
      </c>
      <c r="E16" s="97">
        <f>SUM(E17,)</f>
        <v>3737</v>
      </c>
      <c r="F16" s="97">
        <f>SUM(F17,)</f>
        <v>0</v>
      </c>
      <c r="G16" s="97">
        <f>SUM(G17,)</f>
        <v>0</v>
      </c>
      <c r="H16" s="97">
        <f>SUM(H17,)</f>
        <v>3737</v>
      </c>
    </row>
    <row r="17" spans="1:8" s="51" customFormat="1" ht="24">
      <c r="A17" s="118"/>
      <c r="B17" s="153">
        <v>75101</v>
      </c>
      <c r="C17" s="162"/>
      <c r="D17" s="159" t="s">
        <v>26</v>
      </c>
      <c r="E17" s="175">
        <f>SUM(E18:E19)</f>
        <v>3737</v>
      </c>
      <c r="F17" s="175">
        <f>SUM(F18:F19)</f>
        <v>0</v>
      </c>
      <c r="G17" s="175">
        <f>SUM(G18:G19)</f>
        <v>0</v>
      </c>
      <c r="H17" s="175">
        <f>SUM(H18:H19)</f>
        <v>3737</v>
      </c>
    </row>
    <row r="18" spans="1:8" s="51" customFormat="1" ht="20.25" customHeight="1">
      <c r="A18" s="118"/>
      <c r="B18" s="153"/>
      <c r="C18" s="154">
        <v>4210</v>
      </c>
      <c r="D18" s="159" t="s">
        <v>110</v>
      </c>
      <c r="E18" s="177">
        <v>2000</v>
      </c>
      <c r="F18" s="175"/>
      <c r="G18" s="175"/>
      <c r="H18" s="175">
        <f>SUM(E18+F18-G18)</f>
        <v>2000</v>
      </c>
    </row>
    <row r="19" spans="1:8" s="51" customFormat="1" ht="19.5" customHeight="1">
      <c r="A19" s="118"/>
      <c r="B19" s="153"/>
      <c r="C19" s="154">
        <v>4300</v>
      </c>
      <c r="D19" s="159" t="s">
        <v>97</v>
      </c>
      <c r="E19" s="177">
        <v>1737</v>
      </c>
      <c r="F19" s="175"/>
      <c r="G19" s="175"/>
      <c r="H19" s="175">
        <f>SUM(E19+F19-G19)</f>
        <v>1737</v>
      </c>
    </row>
    <row r="20" spans="1:8" s="51" customFormat="1" ht="36">
      <c r="A20" s="83" t="s">
        <v>27</v>
      </c>
      <c r="B20" s="6"/>
      <c r="C20" s="45"/>
      <c r="D20" s="81" t="s">
        <v>185</v>
      </c>
      <c r="E20" s="97">
        <f>SUM(E21)</f>
        <v>1400</v>
      </c>
      <c r="F20" s="97">
        <f>SUM(F21)</f>
        <v>0</v>
      </c>
      <c r="G20" s="97">
        <f>SUM(G21)</f>
        <v>0</v>
      </c>
      <c r="H20" s="97">
        <f>SUM(H21)</f>
        <v>1400</v>
      </c>
    </row>
    <row r="21" spans="1:8" s="51" customFormat="1" ht="19.5" customHeight="1">
      <c r="A21" s="118"/>
      <c r="B21" s="153" t="s">
        <v>29</v>
      </c>
      <c r="C21" s="162"/>
      <c r="D21" s="159" t="s">
        <v>30</v>
      </c>
      <c r="E21" s="175">
        <f>SUM(E22:E22)</f>
        <v>1400</v>
      </c>
      <c r="F21" s="175">
        <f>SUM(F22:F22)</f>
        <v>0</v>
      </c>
      <c r="G21" s="175">
        <f>SUM(G22:G22)</f>
        <v>0</v>
      </c>
      <c r="H21" s="175">
        <f>SUM(H22:H22)</f>
        <v>1400</v>
      </c>
    </row>
    <row r="22" spans="1:8" s="51" customFormat="1" ht="24" customHeight="1">
      <c r="A22" s="118"/>
      <c r="B22" s="153"/>
      <c r="C22" s="154">
        <v>4210</v>
      </c>
      <c r="D22" s="159" t="s">
        <v>110</v>
      </c>
      <c r="E22" s="175">
        <v>1400</v>
      </c>
      <c r="F22" s="175"/>
      <c r="G22" s="175"/>
      <c r="H22" s="175">
        <f>SUM(E22+F22-G22)</f>
        <v>1400</v>
      </c>
    </row>
    <row r="23" spans="1:8" s="51" customFormat="1" ht="21.75" customHeight="1">
      <c r="A23" s="83">
        <v>852</v>
      </c>
      <c r="B23" s="6"/>
      <c r="C23" s="45"/>
      <c r="D23" s="81" t="s">
        <v>277</v>
      </c>
      <c r="E23" s="97">
        <f>SUM(E24,E35,E37,)</f>
        <v>6257000</v>
      </c>
      <c r="F23" s="97">
        <f>SUM(F24,F35,F37,)</f>
        <v>10000</v>
      </c>
      <c r="G23" s="97">
        <f>SUM(G24,G35,G37,)</f>
        <v>10000</v>
      </c>
      <c r="H23" s="97">
        <f>SUM(H24,H35,H37,)</f>
        <v>6257000</v>
      </c>
    </row>
    <row r="24" spans="1:8" s="51" customFormat="1" ht="36">
      <c r="A24" s="217"/>
      <c r="B24" s="118">
        <v>85212</v>
      </c>
      <c r="C24" s="161"/>
      <c r="D24" s="159" t="s">
        <v>276</v>
      </c>
      <c r="E24" s="168">
        <f>SUM(E25:E34)</f>
        <v>5565000</v>
      </c>
      <c r="F24" s="168">
        <f>SUM(F25:F34)</f>
        <v>0</v>
      </c>
      <c r="G24" s="168">
        <f>SUM(G25:G34)</f>
        <v>0</v>
      </c>
      <c r="H24" s="168">
        <f>SUM(H25:H34)</f>
        <v>5565000</v>
      </c>
    </row>
    <row r="25" spans="1:8" s="51" customFormat="1" ht="24">
      <c r="A25" s="217"/>
      <c r="B25" s="118"/>
      <c r="C25" s="161">
        <v>3020</v>
      </c>
      <c r="D25" s="91" t="s">
        <v>311</v>
      </c>
      <c r="E25" s="168">
        <v>1000</v>
      </c>
      <c r="F25" s="175"/>
      <c r="G25" s="175"/>
      <c r="H25" s="175">
        <f>SUM(E25+F25-G25)</f>
        <v>1000</v>
      </c>
    </row>
    <row r="26" spans="1:8" s="51" customFormat="1" ht="19.5" customHeight="1">
      <c r="A26" s="217"/>
      <c r="B26" s="118"/>
      <c r="C26" s="161">
        <v>3110</v>
      </c>
      <c r="D26" s="159" t="s">
        <v>135</v>
      </c>
      <c r="E26" s="168">
        <v>5365883</v>
      </c>
      <c r="F26" s="175"/>
      <c r="G26" s="175"/>
      <c r="H26" s="175">
        <f aca="true" t="shared" si="0" ref="H26:H34">SUM(E26+F26-G26)</f>
        <v>5365883</v>
      </c>
    </row>
    <row r="27" spans="1:8" s="51" customFormat="1" ht="22.5" customHeight="1">
      <c r="A27" s="217"/>
      <c r="B27" s="118"/>
      <c r="C27" s="118">
        <v>4010</v>
      </c>
      <c r="D27" s="28" t="s">
        <v>102</v>
      </c>
      <c r="E27" s="168">
        <f>60213</f>
        <v>60213</v>
      </c>
      <c r="F27" s="175"/>
      <c r="G27" s="175"/>
      <c r="H27" s="175">
        <f t="shared" si="0"/>
        <v>60213</v>
      </c>
    </row>
    <row r="28" spans="1:8" s="51" customFormat="1" ht="22.5" customHeight="1">
      <c r="A28" s="217"/>
      <c r="B28" s="118"/>
      <c r="C28" s="118">
        <v>4040</v>
      </c>
      <c r="D28" s="28" t="s">
        <v>103</v>
      </c>
      <c r="E28" s="168">
        <v>3800</v>
      </c>
      <c r="F28" s="175"/>
      <c r="G28" s="175"/>
      <c r="H28" s="175">
        <f t="shared" si="0"/>
        <v>3800</v>
      </c>
    </row>
    <row r="29" spans="1:8" s="51" customFormat="1" ht="22.5" customHeight="1">
      <c r="A29" s="217"/>
      <c r="B29" s="118"/>
      <c r="C29" s="118">
        <v>4110</v>
      </c>
      <c r="D29" s="28" t="s">
        <v>104</v>
      </c>
      <c r="E29" s="168">
        <f>11631+90000</f>
        <v>101631</v>
      </c>
      <c r="F29" s="175"/>
      <c r="G29" s="175"/>
      <c r="H29" s="175">
        <f t="shared" si="0"/>
        <v>101631</v>
      </c>
    </row>
    <row r="30" spans="1:8" s="51" customFormat="1" ht="19.5" customHeight="1">
      <c r="A30" s="217"/>
      <c r="B30" s="118"/>
      <c r="C30" s="118">
        <v>4120</v>
      </c>
      <c r="D30" s="28" t="s">
        <v>105</v>
      </c>
      <c r="E30" s="168">
        <f>1181</f>
        <v>1181</v>
      </c>
      <c r="F30" s="175"/>
      <c r="G30" s="175"/>
      <c r="H30" s="175">
        <f t="shared" si="0"/>
        <v>1181</v>
      </c>
    </row>
    <row r="31" spans="1:8" s="51" customFormat="1" ht="19.5" customHeight="1">
      <c r="A31" s="217"/>
      <c r="B31" s="118"/>
      <c r="C31" s="118">
        <v>4210</v>
      </c>
      <c r="D31" s="28" t="s">
        <v>110</v>
      </c>
      <c r="E31" s="168">
        <v>16017</v>
      </c>
      <c r="F31" s="175"/>
      <c r="G31" s="175"/>
      <c r="H31" s="175">
        <f t="shared" si="0"/>
        <v>16017</v>
      </c>
    </row>
    <row r="32" spans="1:8" s="51" customFormat="1" ht="19.5" customHeight="1">
      <c r="A32" s="217"/>
      <c r="B32" s="118"/>
      <c r="C32" s="118">
        <v>4300</v>
      </c>
      <c r="D32" s="28" t="s">
        <v>97</v>
      </c>
      <c r="E32" s="168">
        <v>12000</v>
      </c>
      <c r="F32" s="175"/>
      <c r="G32" s="175"/>
      <c r="H32" s="175">
        <f t="shared" si="0"/>
        <v>12000</v>
      </c>
    </row>
    <row r="33" spans="1:8" s="51" customFormat="1" ht="19.5" customHeight="1">
      <c r="A33" s="217"/>
      <c r="B33" s="118"/>
      <c r="C33" s="118">
        <v>4410</v>
      </c>
      <c r="D33" s="28" t="s">
        <v>108</v>
      </c>
      <c r="E33" s="168">
        <v>500</v>
      </c>
      <c r="F33" s="175"/>
      <c r="G33" s="175"/>
      <c r="H33" s="175">
        <f t="shared" si="0"/>
        <v>500</v>
      </c>
    </row>
    <row r="34" spans="1:8" s="51" customFormat="1" ht="22.5">
      <c r="A34" s="217"/>
      <c r="B34" s="118"/>
      <c r="C34" s="118">
        <v>4440</v>
      </c>
      <c r="D34" s="28" t="s">
        <v>106</v>
      </c>
      <c r="E34" s="168">
        <v>2775</v>
      </c>
      <c r="F34" s="175"/>
      <c r="G34" s="175"/>
      <c r="H34" s="175">
        <f t="shared" si="0"/>
        <v>2775</v>
      </c>
    </row>
    <row r="35" spans="1:8" s="51" customFormat="1" ht="45">
      <c r="A35" s="153"/>
      <c r="B35" s="118">
        <v>85213</v>
      </c>
      <c r="C35" s="162"/>
      <c r="D35" s="159" t="s">
        <v>274</v>
      </c>
      <c r="E35" s="175">
        <f>SUM(E36)</f>
        <v>160900</v>
      </c>
      <c r="F35" s="175">
        <f>SUM(F36)</f>
        <v>0</v>
      </c>
      <c r="G35" s="175">
        <f>SUM(G36)</f>
        <v>0</v>
      </c>
      <c r="H35" s="175">
        <f>SUM(H36)</f>
        <v>160900</v>
      </c>
    </row>
    <row r="36" spans="1:8" s="51" customFormat="1" ht="27" customHeight="1">
      <c r="A36" s="153"/>
      <c r="B36" s="118"/>
      <c r="C36" s="162">
        <v>4130</v>
      </c>
      <c r="D36" s="159" t="s">
        <v>144</v>
      </c>
      <c r="E36" s="168">
        <v>160900</v>
      </c>
      <c r="F36" s="175"/>
      <c r="G36" s="175"/>
      <c r="H36" s="175">
        <f>SUM(E36+F36-G36)</f>
        <v>160900</v>
      </c>
    </row>
    <row r="37" spans="1:8" s="140" customFormat="1" ht="22.5">
      <c r="A37" s="147"/>
      <c r="B37" s="147">
        <v>85214</v>
      </c>
      <c r="C37" s="148"/>
      <c r="D37" s="146" t="s">
        <v>71</v>
      </c>
      <c r="E37" s="177">
        <f>SUM(E38:E39)</f>
        <v>531100</v>
      </c>
      <c r="F37" s="177">
        <f>SUM(F38:F39)</f>
        <v>10000</v>
      </c>
      <c r="G37" s="177">
        <f>SUM(G38:G39)</f>
        <v>10000</v>
      </c>
      <c r="H37" s="177">
        <f>SUM(H38:H39)</f>
        <v>531100</v>
      </c>
    </row>
    <row r="38" spans="1:8" s="140" customFormat="1" ht="19.5" customHeight="1">
      <c r="A38" s="147"/>
      <c r="B38" s="169"/>
      <c r="C38" s="148">
        <v>3110</v>
      </c>
      <c r="D38" s="146" t="s">
        <v>135</v>
      </c>
      <c r="E38" s="177">
        <f>531100</f>
        <v>531100</v>
      </c>
      <c r="F38" s="177"/>
      <c r="G38" s="177">
        <v>10000</v>
      </c>
      <c r="H38" s="177">
        <f>SUM(E38+F38-G38)</f>
        <v>521100</v>
      </c>
    </row>
    <row r="39" spans="1:8" s="140" customFormat="1" ht="21.75" customHeight="1">
      <c r="A39" s="147"/>
      <c r="B39" s="169"/>
      <c r="C39" s="169">
        <v>4110</v>
      </c>
      <c r="D39" s="28" t="s">
        <v>104</v>
      </c>
      <c r="E39" s="177">
        <v>0</v>
      </c>
      <c r="F39" s="177">
        <v>10000</v>
      </c>
      <c r="G39" s="177"/>
      <c r="H39" s="177">
        <f>SUM(E39+F39-G39)</f>
        <v>10000</v>
      </c>
    </row>
    <row r="40" spans="1:8" ht="19.5" customHeight="1">
      <c r="A40" s="17"/>
      <c r="B40" s="17"/>
      <c r="C40" s="17"/>
      <c r="D40" s="32" t="s">
        <v>84</v>
      </c>
      <c r="E40" s="97">
        <f>SUM(E23,E20,E16,E9,)</f>
        <v>6404737</v>
      </c>
      <c r="F40" s="97">
        <f>SUM(F23,F20,F16,F9,)</f>
        <v>10000</v>
      </c>
      <c r="G40" s="97">
        <f>SUM(G23,G20,G16,G9,)</f>
        <v>10000</v>
      </c>
      <c r="H40" s="97">
        <f>SUM(H23,H20,H16,H9,)</f>
        <v>6404737</v>
      </c>
    </row>
    <row r="47" ht="12.75">
      <c r="E47" s="92"/>
    </row>
    <row r="48" ht="12.75">
      <c r="E48" s="92"/>
    </row>
    <row r="49" ht="12.75">
      <c r="E49" s="247"/>
    </row>
    <row r="51" ht="12.75">
      <c r="F51" s="23"/>
    </row>
  </sheetData>
  <mergeCells count="1">
    <mergeCell ref="A6:D6"/>
  </mergeCells>
  <printOptions horizontalCentered="1"/>
  <pageMargins left="0.9" right="0.69" top="0.7874015748031497" bottom="0.7874015748031497" header="0.5118110236220472" footer="0.31496062992125984"/>
  <pageSetup horizontalDpi="600" verticalDpi="600" orientation="portrait" paperSize="9" r:id="rId3"/>
  <headerFooter alignWithMargins="0">
    <oddFooter>&amp;C&amp;8Administracja rządowa - str.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H10" sqref="H10"/>
    </sheetView>
  </sheetViews>
  <sheetFormatPr defaultColWidth="9.00390625" defaultRowHeight="12.75"/>
  <cols>
    <col min="1" max="1" width="6.75390625" style="10" customWidth="1"/>
    <col min="2" max="2" width="7.125" style="10" customWidth="1"/>
    <col min="3" max="3" width="5.75390625" style="10" customWidth="1"/>
    <col min="4" max="4" width="35.75390625" style="10" customWidth="1"/>
    <col min="5" max="5" width="16.875" style="10" customWidth="1"/>
  </cols>
  <sheetData>
    <row r="1" ht="12.75">
      <c r="E1" s="130" t="s">
        <v>298</v>
      </c>
    </row>
    <row r="2" ht="12.75">
      <c r="E2" s="130" t="s">
        <v>352</v>
      </c>
    </row>
    <row r="3" ht="12.75">
      <c r="E3" s="130" t="s">
        <v>208</v>
      </c>
    </row>
    <row r="4" ht="12.75">
      <c r="E4" s="130" t="s">
        <v>353</v>
      </c>
    </row>
    <row r="6" spans="1:5" ht="58.5" customHeight="1">
      <c r="A6" s="327" t="s">
        <v>297</v>
      </c>
      <c r="B6" s="327"/>
      <c r="C6" s="327"/>
      <c r="D6" s="327"/>
      <c r="E6" s="327"/>
    </row>
    <row r="7" spans="1:5" ht="12.75">
      <c r="A7" s="79"/>
      <c r="B7" s="79"/>
      <c r="C7" s="79"/>
      <c r="D7" s="98"/>
      <c r="E7" s="99"/>
    </row>
    <row r="8" spans="1:5" s="10" customFormat="1" ht="24.75" customHeight="1">
      <c r="A8" s="2" t="s">
        <v>0</v>
      </c>
      <c r="B8" s="2" t="s">
        <v>1</v>
      </c>
      <c r="C8" s="2" t="s">
        <v>2</v>
      </c>
      <c r="D8" s="2" t="s">
        <v>3</v>
      </c>
      <c r="E8" s="44" t="s">
        <v>171</v>
      </c>
    </row>
    <row r="9" spans="1:5" s="8" customFormat="1" ht="24.75" customHeight="1">
      <c r="A9" s="83" t="s">
        <v>79</v>
      </c>
      <c r="B9" s="6"/>
      <c r="C9" s="6"/>
      <c r="D9" s="43" t="s">
        <v>86</v>
      </c>
      <c r="E9" s="35">
        <f>E10</f>
        <v>45000</v>
      </c>
    </row>
    <row r="10" spans="1:5" s="8" customFormat="1" ht="24.75" customHeight="1">
      <c r="A10" s="3"/>
      <c r="B10" s="3" t="s">
        <v>80</v>
      </c>
      <c r="C10" s="4"/>
      <c r="D10" s="20" t="s">
        <v>81</v>
      </c>
      <c r="E10" s="36">
        <f>E11</f>
        <v>45000</v>
      </c>
    </row>
    <row r="11" spans="1:5" s="10" customFormat="1" ht="24">
      <c r="A11" s="3"/>
      <c r="B11" s="3"/>
      <c r="C11" s="4">
        <v>2480</v>
      </c>
      <c r="D11" s="20" t="s">
        <v>167</v>
      </c>
      <c r="E11" s="36">
        <v>45000</v>
      </c>
    </row>
    <row r="12" spans="1:5" s="8" customFormat="1" ht="24.75" customHeight="1">
      <c r="A12" s="39"/>
      <c r="B12" s="39"/>
      <c r="C12" s="39"/>
      <c r="D12" s="6" t="s">
        <v>84</v>
      </c>
      <c r="E12" s="35">
        <f>SUM(E9)</f>
        <v>45000</v>
      </c>
    </row>
    <row r="15" ht="12.75">
      <c r="E15" s="69"/>
    </row>
    <row r="16" ht="12.75">
      <c r="E16" s="69"/>
    </row>
    <row r="17" ht="12.75">
      <c r="E17" s="92"/>
    </row>
    <row r="18" ht="12.75">
      <c r="E18" s="69"/>
    </row>
    <row r="19" ht="12.75">
      <c r="E19" s="69"/>
    </row>
  </sheetData>
  <mergeCells count="1">
    <mergeCell ref="A6:E6"/>
  </mergeCells>
  <printOptions horizontalCentered="1"/>
  <pageMargins left="0.984251968503937" right="0.7874015748031497" top="0.7874015748031497" bottom="0.7874015748031497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1"/>
  <sheetViews>
    <sheetView workbookViewId="0" topLeftCell="A1">
      <selection activeCell="K7" sqref="K6:K7"/>
    </sheetView>
  </sheetViews>
  <sheetFormatPr defaultColWidth="9.00390625" defaultRowHeight="12.75"/>
  <cols>
    <col min="1" max="1" width="4.875" style="10" customWidth="1"/>
    <col min="2" max="2" width="7.125" style="10" customWidth="1"/>
    <col min="3" max="3" width="5.125" style="10" customWidth="1"/>
    <col min="4" max="4" width="35.375" style="10" customWidth="1"/>
    <col min="5" max="5" width="12.25390625" style="10" hidden="1" customWidth="1"/>
    <col min="6" max="6" width="11.375" style="0" hidden="1" customWidth="1"/>
    <col min="7" max="7" width="11.875" style="0" hidden="1" customWidth="1"/>
    <col min="8" max="8" width="17.00390625" style="0" customWidth="1"/>
  </cols>
  <sheetData>
    <row r="1" spans="5:8" ht="12.75">
      <c r="E1" s="130"/>
      <c r="F1" s="130"/>
      <c r="G1" s="130"/>
      <c r="H1" s="130" t="s">
        <v>300</v>
      </c>
    </row>
    <row r="2" spans="5:8" ht="12.75">
      <c r="E2" s="130"/>
      <c r="F2" s="130"/>
      <c r="G2" s="130"/>
      <c r="H2" s="130" t="s">
        <v>352</v>
      </c>
    </row>
    <row r="3" spans="5:8" ht="12.75">
      <c r="E3" s="130"/>
      <c r="F3" s="130"/>
      <c r="G3" s="130"/>
      <c r="H3" s="130" t="s">
        <v>208</v>
      </c>
    </row>
    <row r="4" spans="5:8" ht="12.75">
      <c r="E4" s="130"/>
      <c r="F4" s="130"/>
      <c r="G4" s="130"/>
      <c r="H4" s="130" t="s">
        <v>353</v>
      </c>
    </row>
    <row r="5" spans="1:5" ht="17.25" customHeight="1">
      <c r="A5" s="319" t="s">
        <v>336</v>
      </c>
      <c r="B5" s="319"/>
      <c r="C5" s="319"/>
      <c r="D5" s="319"/>
      <c r="E5" s="17"/>
    </row>
    <row r="6" spans="1:5" ht="12.75">
      <c r="A6" s="17"/>
      <c r="B6" s="17"/>
      <c r="C6" s="17"/>
      <c r="D6" s="85"/>
      <c r="E6" s="93"/>
    </row>
    <row r="7" spans="1:8" s="51" customFormat="1" ht="21" customHeight="1">
      <c r="A7" s="183" t="s">
        <v>0</v>
      </c>
      <c r="B7" s="184" t="s">
        <v>1</v>
      </c>
      <c r="C7" s="185" t="s">
        <v>2</v>
      </c>
      <c r="D7" s="184" t="s">
        <v>3</v>
      </c>
      <c r="E7" s="186" t="s">
        <v>171</v>
      </c>
      <c r="F7" s="182" t="s">
        <v>337</v>
      </c>
      <c r="G7" s="182" t="s">
        <v>341</v>
      </c>
      <c r="H7" s="182" t="s">
        <v>171</v>
      </c>
    </row>
    <row r="8" spans="1:8" s="8" customFormat="1" ht="21.75" customHeight="1">
      <c r="A8" s="80" t="s">
        <v>92</v>
      </c>
      <c r="B8" s="6"/>
      <c r="C8" s="45"/>
      <c r="D8" s="43" t="s">
        <v>93</v>
      </c>
      <c r="E8" s="94">
        <f>SUM(E9)</f>
        <v>630343</v>
      </c>
      <c r="F8" s="94">
        <f>SUM(F9)</f>
        <v>200000</v>
      </c>
      <c r="G8" s="94">
        <f>SUM(G9)</f>
        <v>0</v>
      </c>
      <c r="H8" s="94">
        <f>SUM(H9)</f>
        <v>830343</v>
      </c>
    </row>
    <row r="9" spans="1:8" s="51" customFormat="1" ht="21.75" customHeight="1">
      <c r="A9" s="152"/>
      <c r="B9" s="153" t="s">
        <v>94</v>
      </c>
      <c r="C9" s="162"/>
      <c r="D9" s="28" t="s">
        <v>95</v>
      </c>
      <c r="E9" s="127">
        <f>SUM(E10,E13,)</f>
        <v>630343</v>
      </c>
      <c r="F9" s="127">
        <f>SUM(F10,F13,)</f>
        <v>200000</v>
      </c>
      <c r="G9" s="127">
        <f>SUM(G10,G13,)</f>
        <v>0</v>
      </c>
      <c r="H9" s="127">
        <f>SUM(H10,H13,)</f>
        <v>830343</v>
      </c>
    </row>
    <row r="10" spans="1:8" s="51" customFormat="1" ht="21.75" customHeight="1">
      <c r="A10" s="160"/>
      <c r="B10" s="118"/>
      <c r="C10" s="162">
        <v>6050</v>
      </c>
      <c r="D10" s="28" t="s">
        <v>91</v>
      </c>
      <c r="E10" s="127">
        <f>SUM(E11:E12)</f>
        <v>630343</v>
      </c>
      <c r="F10" s="127">
        <f>SUM(F11:F12)</f>
        <v>0</v>
      </c>
      <c r="G10" s="127">
        <f>SUM(G11:G12)</f>
        <v>0</v>
      </c>
      <c r="H10" s="127">
        <f>SUM(H11:H12)</f>
        <v>630343</v>
      </c>
    </row>
    <row r="11" spans="1:8" s="70" customFormat="1" ht="21.75" customHeight="1">
      <c r="A11" s="109"/>
      <c r="B11" s="110"/>
      <c r="C11" s="111"/>
      <c r="D11" s="116" t="s">
        <v>257</v>
      </c>
      <c r="E11" s="113">
        <v>30343</v>
      </c>
      <c r="F11" s="265"/>
      <c r="G11" s="265"/>
      <c r="H11" s="195">
        <f>SUM(E11+F11-G11)</f>
        <v>30343</v>
      </c>
    </row>
    <row r="12" spans="1:8" s="70" customFormat="1" ht="21.75" customHeight="1">
      <c r="A12" s="109"/>
      <c r="B12" s="110"/>
      <c r="C12" s="111"/>
      <c r="D12" s="112" t="s">
        <v>261</v>
      </c>
      <c r="E12" s="113">
        <v>600000</v>
      </c>
      <c r="F12" s="265"/>
      <c r="G12" s="265"/>
      <c r="H12" s="195">
        <f>SUM(E12+F12-G12)</f>
        <v>600000</v>
      </c>
    </row>
    <row r="13" spans="1:8" s="51" customFormat="1" ht="19.5" customHeight="1">
      <c r="A13" s="160"/>
      <c r="B13" s="118"/>
      <c r="C13" s="297">
        <v>6800</v>
      </c>
      <c r="D13" s="293" t="s">
        <v>347</v>
      </c>
      <c r="E13" s="298">
        <f>SUM(E14)</f>
        <v>0</v>
      </c>
      <c r="F13" s="298">
        <f>SUM(F14)</f>
        <v>200000</v>
      </c>
      <c r="G13" s="298">
        <f>SUM(G14)</f>
        <v>0</v>
      </c>
      <c r="H13" s="298">
        <f>SUM(H14)</f>
        <v>200000</v>
      </c>
    </row>
    <row r="14" spans="1:8" s="70" customFormat="1" ht="24.75" customHeight="1">
      <c r="A14" s="109"/>
      <c r="B14" s="110"/>
      <c r="C14" s="297"/>
      <c r="D14" s="294" t="s">
        <v>350</v>
      </c>
      <c r="E14" s="299">
        <v>0</v>
      </c>
      <c r="F14" s="295">
        <v>200000</v>
      </c>
      <c r="G14" s="296"/>
      <c r="H14" s="295">
        <f>SUM(E14+F14-G14)</f>
        <v>200000</v>
      </c>
    </row>
    <row r="15" spans="1:8" s="23" customFormat="1" ht="21.75" customHeight="1">
      <c r="A15" s="80" t="s">
        <v>11</v>
      </c>
      <c r="B15" s="6"/>
      <c r="C15" s="45"/>
      <c r="D15" s="43" t="s">
        <v>12</v>
      </c>
      <c r="E15" s="35">
        <f>SUM(E19,E16)</f>
        <v>425000</v>
      </c>
      <c r="F15" s="35">
        <f>SUM(F19,F16)</f>
        <v>0</v>
      </c>
      <c r="G15" s="35">
        <f>SUM(G19,G16)</f>
        <v>0</v>
      </c>
      <c r="H15" s="35">
        <f>SUM(H19,H16)</f>
        <v>425000</v>
      </c>
    </row>
    <row r="16" spans="1:8" s="51" customFormat="1" ht="21.75" customHeight="1">
      <c r="A16" s="152"/>
      <c r="B16" s="160">
        <v>70021</v>
      </c>
      <c r="C16" s="153"/>
      <c r="D16" s="28" t="s">
        <v>260</v>
      </c>
      <c r="E16" s="168">
        <f>SUM(E17)</f>
        <v>375000</v>
      </c>
      <c r="F16" s="168">
        <f aca="true" t="shared" si="0" ref="F16:H17">SUM(F17)</f>
        <v>0</v>
      </c>
      <c r="G16" s="168">
        <f t="shared" si="0"/>
        <v>0</v>
      </c>
      <c r="H16" s="168">
        <f t="shared" si="0"/>
        <v>375000</v>
      </c>
    </row>
    <row r="17" spans="1:8" s="51" customFormat="1" ht="21.75" customHeight="1">
      <c r="A17" s="152"/>
      <c r="B17" s="118"/>
      <c r="C17" s="153">
        <v>6050</v>
      </c>
      <c r="D17" s="28" t="s">
        <v>91</v>
      </c>
      <c r="E17" s="168">
        <f>SUM(E18)</f>
        <v>375000</v>
      </c>
      <c r="F17" s="168">
        <f t="shared" si="0"/>
        <v>0</v>
      </c>
      <c r="G17" s="168">
        <f t="shared" si="0"/>
        <v>0</v>
      </c>
      <c r="H17" s="168">
        <f t="shared" si="0"/>
        <v>375000</v>
      </c>
    </row>
    <row r="18" spans="1:8" s="70" customFormat="1" ht="21.75" customHeight="1">
      <c r="A18" s="114"/>
      <c r="B18" s="110"/>
      <c r="C18" s="231"/>
      <c r="D18" s="204" t="s">
        <v>351</v>
      </c>
      <c r="E18" s="205">
        <v>375000</v>
      </c>
      <c r="F18" s="265"/>
      <c r="G18" s="265"/>
      <c r="H18" s="195">
        <f>SUM(E18+F18-G18)</f>
        <v>375000</v>
      </c>
    </row>
    <row r="19" spans="1:8" s="51" customFormat="1" ht="21.75" customHeight="1">
      <c r="A19" s="152"/>
      <c r="B19" s="153">
        <v>70095</v>
      </c>
      <c r="C19" s="162"/>
      <c r="D19" s="28" t="s">
        <v>6</v>
      </c>
      <c r="E19" s="168">
        <f aca="true" t="shared" si="1" ref="E19:G20">SUM(E20)</f>
        <v>50000</v>
      </c>
      <c r="F19" s="168">
        <f t="shared" si="1"/>
        <v>0</v>
      </c>
      <c r="G19" s="168">
        <f t="shared" si="1"/>
        <v>0</v>
      </c>
      <c r="H19" s="195">
        <f>SUM(E19+F19-G19)</f>
        <v>50000</v>
      </c>
    </row>
    <row r="20" spans="1:8" s="51" customFormat="1" ht="21.75" customHeight="1">
      <c r="A20" s="152"/>
      <c r="B20" s="153"/>
      <c r="C20" s="154">
        <v>6050</v>
      </c>
      <c r="D20" s="28" t="s">
        <v>91</v>
      </c>
      <c r="E20" s="168">
        <f t="shared" si="1"/>
        <v>50000</v>
      </c>
      <c r="F20" s="168">
        <f t="shared" si="1"/>
        <v>0</v>
      </c>
      <c r="G20" s="168">
        <f t="shared" si="1"/>
        <v>0</v>
      </c>
      <c r="H20" s="168">
        <f>SUM(H21)</f>
        <v>50000</v>
      </c>
    </row>
    <row r="21" spans="1:8" s="51" customFormat="1" ht="21.75" customHeight="1">
      <c r="A21" s="114"/>
      <c r="B21" s="110"/>
      <c r="C21" s="115"/>
      <c r="D21" s="116" t="s">
        <v>186</v>
      </c>
      <c r="E21" s="117">
        <f>100000-50000</f>
        <v>50000</v>
      </c>
      <c r="F21" s="262"/>
      <c r="G21" s="262"/>
      <c r="H21" s="195">
        <f>SUM(E21+F21-G21)</f>
        <v>50000</v>
      </c>
    </row>
    <row r="22" spans="1:8" s="23" customFormat="1" ht="21.75" customHeight="1">
      <c r="A22" s="80" t="s">
        <v>19</v>
      </c>
      <c r="B22" s="6"/>
      <c r="C22" s="45"/>
      <c r="D22" s="43" t="s">
        <v>101</v>
      </c>
      <c r="E22" s="35">
        <f>E23</f>
        <v>267250</v>
      </c>
      <c r="F22" s="35">
        <f>F23</f>
        <v>0</v>
      </c>
      <c r="G22" s="35">
        <f>G23</f>
        <v>214000</v>
      </c>
      <c r="H22" s="35">
        <f>H23</f>
        <v>53250</v>
      </c>
    </row>
    <row r="23" spans="1:8" s="51" customFormat="1" ht="21.75" customHeight="1">
      <c r="A23" s="160"/>
      <c r="B23" s="153" t="s">
        <v>23</v>
      </c>
      <c r="C23" s="162"/>
      <c r="D23" s="28" t="s">
        <v>24</v>
      </c>
      <c r="E23" s="168">
        <f>SUM(E24,E26)</f>
        <v>267250</v>
      </c>
      <c r="F23" s="168">
        <f>SUM(F24,F26)</f>
        <v>0</v>
      </c>
      <c r="G23" s="168">
        <f>SUM(G24,G26)</f>
        <v>214000</v>
      </c>
      <c r="H23" s="168">
        <f>SUM(H24,H26)</f>
        <v>53250</v>
      </c>
    </row>
    <row r="24" spans="1:8" s="51" customFormat="1" ht="21.75" customHeight="1" hidden="1">
      <c r="A24" s="160"/>
      <c r="B24" s="153"/>
      <c r="C24" s="162">
        <v>6050</v>
      </c>
      <c r="D24" s="28" t="s">
        <v>114</v>
      </c>
      <c r="E24" s="168">
        <f>SUM(E25)</f>
        <v>214000</v>
      </c>
      <c r="F24" s="168">
        <f>SUM(F25)</f>
        <v>0</v>
      </c>
      <c r="G24" s="168">
        <f>SUM(G25)</f>
        <v>214000</v>
      </c>
      <c r="H24" s="168">
        <f>SUM(H25)</f>
        <v>0</v>
      </c>
    </row>
    <row r="25" spans="1:8" s="51" customFormat="1" ht="21.75" customHeight="1" hidden="1">
      <c r="A25" s="114"/>
      <c r="B25" s="110"/>
      <c r="C25" s="115"/>
      <c r="D25" s="116" t="s">
        <v>204</v>
      </c>
      <c r="E25" s="117">
        <v>214000</v>
      </c>
      <c r="F25" s="262"/>
      <c r="G25" s="195">
        <v>214000</v>
      </c>
      <c r="H25" s="195">
        <f>SUM(E25+F25-G25)</f>
        <v>0</v>
      </c>
    </row>
    <row r="26" spans="1:8" s="51" customFormat="1" ht="21.75" customHeight="1">
      <c r="A26" s="160"/>
      <c r="B26" s="153"/>
      <c r="C26" s="162">
        <v>6060</v>
      </c>
      <c r="D26" s="28" t="s">
        <v>115</v>
      </c>
      <c r="E26" s="168">
        <f>SUM(E27)</f>
        <v>53250</v>
      </c>
      <c r="F26" s="168">
        <f>SUM(F27)</f>
        <v>0</v>
      </c>
      <c r="G26" s="168">
        <f>SUM(G27)</f>
        <v>0</v>
      </c>
      <c r="H26" s="168">
        <f>SUM(H27)</f>
        <v>53250</v>
      </c>
    </row>
    <row r="27" spans="1:8" s="51" customFormat="1" ht="26.25" customHeight="1">
      <c r="A27" s="114"/>
      <c r="B27" s="110"/>
      <c r="C27" s="115"/>
      <c r="D27" s="116" t="s">
        <v>187</v>
      </c>
      <c r="E27" s="117">
        <v>53250</v>
      </c>
      <c r="F27" s="262"/>
      <c r="G27" s="262"/>
      <c r="H27" s="195">
        <f>SUM(E27+F27-G27)</f>
        <v>53250</v>
      </c>
    </row>
    <row r="28" spans="1:8" s="95" customFormat="1" ht="21.75" customHeight="1">
      <c r="A28" s="80">
        <v>801</v>
      </c>
      <c r="B28" s="6"/>
      <c r="C28" s="27"/>
      <c r="D28" s="43" t="s">
        <v>133</v>
      </c>
      <c r="E28" s="35">
        <f>SUM(E29,E32)</f>
        <v>19000</v>
      </c>
      <c r="F28" s="35">
        <f>SUM(F29,F32)</f>
        <v>0</v>
      </c>
      <c r="G28" s="35">
        <f>SUM(G29,G32)</f>
        <v>0</v>
      </c>
      <c r="H28" s="35">
        <f>SUM(H29,H32)</f>
        <v>19000</v>
      </c>
    </row>
    <row r="29" spans="1:8" s="51" customFormat="1" ht="21.75" customHeight="1">
      <c r="A29" s="152"/>
      <c r="B29" s="118">
        <v>80101</v>
      </c>
      <c r="C29" s="155"/>
      <c r="D29" s="28" t="s">
        <v>64</v>
      </c>
      <c r="E29" s="168">
        <f>SUM(E30)</f>
        <v>15500</v>
      </c>
      <c r="F29" s="168">
        <f aca="true" t="shared" si="2" ref="F29:H30">SUM(F30)</f>
        <v>0</v>
      </c>
      <c r="G29" s="168">
        <f t="shared" si="2"/>
        <v>0</v>
      </c>
      <c r="H29" s="168">
        <f t="shared" si="2"/>
        <v>15500</v>
      </c>
    </row>
    <row r="30" spans="1:8" s="51" customFormat="1" ht="21.75" customHeight="1">
      <c r="A30" s="152"/>
      <c r="B30" s="118"/>
      <c r="C30" s="155">
        <v>6060</v>
      </c>
      <c r="D30" s="28" t="s">
        <v>115</v>
      </c>
      <c r="E30" s="168">
        <f>SUM(E31)</f>
        <v>15500</v>
      </c>
      <c r="F30" s="168">
        <f t="shared" si="2"/>
        <v>0</v>
      </c>
      <c r="G30" s="168">
        <f t="shared" si="2"/>
        <v>0</v>
      </c>
      <c r="H30" s="168">
        <f t="shared" si="2"/>
        <v>15500</v>
      </c>
    </row>
    <row r="31" spans="1:8" s="70" customFormat="1" ht="21.75" customHeight="1">
      <c r="A31" s="114"/>
      <c r="B31" s="110"/>
      <c r="C31" s="115"/>
      <c r="D31" s="116" t="s">
        <v>187</v>
      </c>
      <c r="E31" s="117">
        <v>15500</v>
      </c>
      <c r="F31" s="265"/>
      <c r="G31" s="265"/>
      <c r="H31" s="195">
        <f>SUM(E31+F31-G31)</f>
        <v>15500</v>
      </c>
    </row>
    <row r="32" spans="1:8" s="51" customFormat="1" ht="21.75" customHeight="1">
      <c r="A32" s="152"/>
      <c r="B32" s="118">
        <v>80110</v>
      </c>
      <c r="C32" s="155"/>
      <c r="D32" s="28" t="s">
        <v>65</v>
      </c>
      <c r="E32" s="168">
        <f aca="true" t="shared" si="3" ref="E32:H33">SUM(E33)</f>
        <v>3500</v>
      </c>
      <c r="F32" s="168">
        <f t="shared" si="3"/>
        <v>0</v>
      </c>
      <c r="G32" s="168">
        <f t="shared" si="3"/>
        <v>0</v>
      </c>
      <c r="H32" s="168">
        <f t="shared" si="3"/>
        <v>3500</v>
      </c>
    </row>
    <row r="33" spans="1:8" s="51" customFormat="1" ht="21.75" customHeight="1">
      <c r="A33" s="152"/>
      <c r="B33" s="118"/>
      <c r="C33" s="155">
        <v>6060</v>
      </c>
      <c r="D33" s="28" t="s">
        <v>115</v>
      </c>
      <c r="E33" s="168">
        <f t="shared" si="3"/>
        <v>3500</v>
      </c>
      <c r="F33" s="168">
        <f t="shared" si="3"/>
        <v>0</v>
      </c>
      <c r="G33" s="168">
        <f t="shared" si="3"/>
        <v>0</v>
      </c>
      <c r="H33" s="168">
        <f t="shared" si="3"/>
        <v>3500</v>
      </c>
    </row>
    <row r="34" spans="1:8" s="70" customFormat="1" ht="21.75" customHeight="1">
      <c r="A34" s="114"/>
      <c r="B34" s="110"/>
      <c r="C34" s="115"/>
      <c r="D34" s="116" t="s">
        <v>187</v>
      </c>
      <c r="E34" s="117">
        <v>3500</v>
      </c>
      <c r="F34" s="265"/>
      <c r="G34" s="265"/>
      <c r="H34" s="195">
        <f>SUM(E34+F34-G34)</f>
        <v>3500</v>
      </c>
    </row>
    <row r="35" spans="1:8" s="95" customFormat="1" ht="23.25" customHeight="1">
      <c r="A35" s="139">
        <v>851</v>
      </c>
      <c r="B35" s="88"/>
      <c r="C35" s="199"/>
      <c r="D35" s="89" t="s">
        <v>67</v>
      </c>
      <c r="E35" s="145">
        <f>SUM(E39,E36)</f>
        <v>40000</v>
      </c>
      <c r="F35" s="145">
        <f>SUM(F39,F36)</f>
        <v>0</v>
      </c>
      <c r="G35" s="145">
        <f>SUM(G39,G36)</f>
        <v>0</v>
      </c>
      <c r="H35" s="145">
        <f>SUM(H39,H36)</f>
        <v>40000</v>
      </c>
    </row>
    <row r="36" spans="1:8" s="51" customFormat="1" ht="18.75" customHeight="1">
      <c r="A36" s="165"/>
      <c r="B36" s="169">
        <v>85111</v>
      </c>
      <c r="C36" s="169"/>
      <c r="D36" s="91" t="s">
        <v>275</v>
      </c>
      <c r="E36" s="177">
        <f>SUM(E37)</f>
        <v>10000</v>
      </c>
      <c r="F36" s="177">
        <f aca="true" t="shared" si="4" ref="F36:H37">SUM(F37)</f>
        <v>0</v>
      </c>
      <c r="G36" s="177">
        <f t="shared" si="4"/>
        <v>0</v>
      </c>
      <c r="H36" s="177">
        <f t="shared" si="4"/>
        <v>10000</v>
      </c>
    </row>
    <row r="37" spans="1:8" s="51" customFormat="1" ht="53.25" customHeight="1">
      <c r="A37" s="165"/>
      <c r="B37" s="169"/>
      <c r="C37" s="200">
        <v>6300</v>
      </c>
      <c r="D37" s="91" t="s">
        <v>279</v>
      </c>
      <c r="E37" s="177">
        <f>SUM(E38)</f>
        <v>10000</v>
      </c>
      <c r="F37" s="177">
        <f t="shared" si="4"/>
        <v>0</v>
      </c>
      <c r="G37" s="177">
        <f t="shared" si="4"/>
        <v>0</v>
      </c>
      <c r="H37" s="177">
        <f t="shared" si="4"/>
        <v>10000</v>
      </c>
    </row>
    <row r="38" spans="1:8" s="70" customFormat="1" ht="27" customHeight="1">
      <c r="A38" s="201"/>
      <c r="B38" s="202"/>
      <c r="C38" s="203"/>
      <c r="D38" s="204" t="s">
        <v>280</v>
      </c>
      <c r="E38" s="205">
        <v>10000</v>
      </c>
      <c r="F38" s="265"/>
      <c r="G38" s="265"/>
      <c r="H38" s="195">
        <f>SUM(E38+F38-G38)</f>
        <v>10000</v>
      </c>
    </row>
    <row r="39" spans="1:8" s="51" customFormat="1" ht="21.75" customHeight="1">
      <c r="A39" s="152"/>
      <c r="B39" s="118">
        <v>85154</v>
      </c>
      <c r="C39" s="155"/>
      <c r="D39" s="28" t="s">
        <v>68</v>
      </c>
      <c r="E39" s="168">
        <f>SUM(E40)</f>
        <v>30000</v>
      </c>
      <c r="F39" s="168">
        <f>SUM(F40)</f>
        <v>0</v>
      </c>
      <c r="G39" s="168">
        <f>SUM(G40)</f>
        <v>0</v>
      </c>
      <c r="H39" s="168">
        <f>SUM(H40)</f>
        <v>30000</v>
      </c>
    </row>
    <row r="40" spans="1:8" s="51" customFormat="1" ht="21.75" customHeight="1">
      <c r="A40" s="152"/>
      <c r="B40" s="118"/>
      <c r="C40" s="155">
        <v>6060</v>
      </c>
      <c r="D40" s="28" t="s">
        <v>115</v>
      </c>
      <c r="E40" s="168">
        <f>SUM(E41)</f>
        <v>30000</v>
      </c>
      <c r="F40" s="262"/>
      <c r="G40" s="262"/>
      <c r="H40" s="195">
        <f>SUM(E40+F40-G40)</f>
        <v>30000</v>
      </c>
    </row>
    <row r="41" spans="1:8" s="51" customFormat="1" ht="21.75" customHeight="1">
      <c r="A41" s="152"/>
      <c r="B41" s="118"/>
      <c r="C41" s="155"/>
      <c r="D41" s="116" t="s">
        <v>325</v>
      </c>
      <c r="E41" s="117">
        <v>30000</v>
      </c>
      <c r="F41" s="262"/>
      <c r="G41" s="262"/>
      <c r="H41" s="195">
        <f>SUM(E41+F41-G41)</f>
        <v>30000</v>
      </c>
    </row>
    <row r="42" spans="1:8" s="23" customFormat="1" ht="24">
      <c r="A42" s="80" t="s">
        <v>152</v>
      </c>
      <c r="B42" s="6"/>
      <c r="C42" s="45"/>
      <c r="D42" s="43" t="s">
        <v>76</v>
      </c>
      <c r="E42" s="224">
        <f>SUM(E43,E50)</f>
        <v>17415846</v>
      </c>
      <c r="F42" s="224">
        <f>SUM(F43,F50)</f>
        <v>18357102</v>
      </c>
      <c r="G42" s="224">
        <f>SUM(G43,G50)</f>
        <v>17400000</v>
      </c>
      <c r="H42" s="224">
        <f>SUM(H43,H50)</f>
        <v>18372948</v>
      </c>
    </row>
    <row r="43" spans="1:8" s="51" customFormat="1" ht="21" customHeight="1">
      <c r="A43" s="152"/>
      <c r="B43" s="153" t="s">
        <v>153</v>
      </c>
      <c r="C43" s="162"/>
      <c r="D43" s="28" t="s">
        <v>77</v>
      </c>
      <c r="E43" s="168">
        <f>SUM(E44,E46,E48,)</f>
        <v>17400000</v>
      </c>
      <c r="F43" s="168">
        <f>SUM(F44,F46,F48,)</f>
        <v>18344702</v>
      </c>
      <c r="G43" s="168">
        <f>SUM(G44,G46,G48,)</f>
        <v>17400000</v>
      </c>
      <c r="H43" s="168">
        <f>SUM(H44,H46,H48,)</f>
        <v>18344702</v>
      </c>
    </row>
    <row r="44" spans="1:8" s="51" customFormat="1" ht="21.75" customHeight="1" hidden="1">
      <c r="A44" s="153"/>
      <c r="B44" s="153"/>
      <c r="C44" s="153">
        <v>6052</v>
      </c>
      <c r="D44" s="28" t="s">
        <v>91</v>
      </c>
      <c r="E44" s="168">
        <f>SUM(E45:E45)</f>
        <v>17400000</v>
      </c>
      <c r="F44" s="168">
        <f>SUM(F45:F45)</f>
        <v>0</v>
      </c>
      <c r="G44" s="168">
        <f>SUM(G45:G45)</f>
        <v>17400000</v>
      </c>
      <c r="H44" s="168">
        <f>SUM(H45:H45)</f>
        <v>0</v>
      </c>
    </row>
    <row r="45" spans="1:8" s="51" customFormat="1" ht="36" customHeight="1" hidden="1">
      <c r="A45" s="152"/>
      <c r="B45" s="153"/>
      <c r="C45" s="154"/>
      <c r="D45" s="119" t="s">
        <v>332</v>
      </c>
      <c r="E45" s="117">
        <f>5000000+12400000</f>
        <v>17400000</v>
      </c>
      <c r="F45" s="175"/>
      <c r="G45" s="195">
        <v>17400000</v>
      </c>
      <c r="H45" s="195">
        <f>SUM(E45+F45-G45)</f>
        <v>0</v>
      </c>
    </row>
    <row r="46" spans="1:8" s="51" customFormat="1" ht="24.75" customHeight="1">
      <c r="A46" s="152"/>
      <c r="B46" s="153"/>
      <c r="C46" s="154">
        <v>6059</v>
      </c>
      <c r="D46" s="28" t="s">
        <v>91</v>
      </c>
      <c r="E46" s="117">
        <f>SUM(E47)</f>
        <v>0</v>
      </c>
      <c r="F46" s="168">
        <f>SUM(F47)</f>
        <v>1200014</v>
      </c>
      <c r="G46" s="168">
        <f>SUM(G47)</f>
        <v>0</v>
      </c>
      <c r="H46" s="168">
        <f>SUM(H47)</f>
        <v>1200014</v>
      </c>
    </row>
    <row r="47" spans="1:8" s="51" customFormat="1" ht="36.75" customHeight="1">
      <c r="A47" s="152"/>
      <c r="B47" s="153"/>
      <c r="C47" s="154"/>
      <c r="D47" s="119" t="s">
        <v>332</v>
      </c>
      <c r="E47" s="117">
        <v>0</v>
      </c>
      <c r="F47" s="195">
        <v>1200014</v>
      </c>
      <c r="G47" s="262"/>
      <c r="H47" s="195">
        <f>SUM(E47+F47-G47)</f>
        <v>1200014</v>
      </c>
    </row>
    <row r="48" spans="1:8" s="51" customFormat="1" ht="21.75" customHeight="1">
      <c r="A48" s="152"/>
      <c r="B48" s="153"/>
      <c r="C48" s="154">
        <v>6058</v>
      </c>
      <c r="D48" s="28" t="s">
        <v>91</v>
      </c>
      <c r="E48" s="117">
        <f>SUM(E49)</f>
        <v>0</v>
      </c>
      <c r="F48" s="168">
        <f>SUM(F49)</f>
        <v>17144688</v>
      </c>
      <c r="G48" s="168">
        <f>SUM(G49)</f>
        <v>0</v>
      </c>
      <c r="H48" s="168">
        <f>SUM(H49)</f>
        <v>17144688</v>
      </c>
    </row>
    <row r="49" spans="1:8" s="51" customFormat="1" ht="36.75" customHeight="1">
      <c r="A49" s="152"/>
      <c r="B49" s="153"/>
      <c r="C49" s="154"/>
      <c r="D49" s="119" t="s">
        <v>332</v>
      </c>
      <c r="E49" s="117">
        <v>0</v>
      </c>
      <c r="F49" s="195">
        <f>3800000+13344688</f>
        <v>17144688</v>
      </c>
      <c r="G49" s="262"/>
      <c r="H49" s="195">
        <f>SUM(E49+F49-G49)</f>
        <v>17144688</v>
      </c>
    </row>
    <row r="50" spans="1:8" s="51" customFormat="1" ht="21.75" customHeight="1">
      <c r="A50" s="152"/>
      <c r="B50" s="153" t="s">
        <v>162</v>
      </c>
      <c r="C50" s="162"/>
      <c r="D50" s="28" t="s">
        <v>163</v>
      </c>
      <c r="E50" s="168">
        <f>SUM(E51:E51)</f>
        <v>15846</v>
      </c>
      <c r="F50" s="168">
        <f>SUM(F51:F51)</f>
        <v>12400</v>
      </c>
      <c r="G50" s="168">
        <f>SUM(G51:G51)</f>
        <v>0</v>
      </c>
      <c r="H50" s="168">
        <f>SUM(H51:H51)</f>
        <v>28246</v>
      </c>
    </row>
    <row r="51" spans="1:8" s="51" customFormat="1" ht="21.75" customHeight="1">
      <c r="A51" s="152"/>
      <c r="B51" s="118"/>
      <c r="C51" s="154">
        <v>6050</v>
      </c>
      <c r="D51" s="28" t="s">
        <v>91</v>
      </c>
      <c r="E51" s="168">
        <f>SUM(E52:E57)</f>
        <v>15846</v>
      </c>
      <c r="F51" s="168">
        <f>SUM(F52:F57)</f>
        <v>12400</v>
      </c>
      <c r="G51" s="168">
        <f>SUM(G52:G57)</f>
        <v>0</v>
      </c>
      <c r="H51" s="168">
        <f>SUM(H52:H57)</f>
        <v>28246</v>
      </c>
    </row>
    <row r="52" spans="1:8" s="51" customFormat="1" ht="21.75" customHeight="1">
      <c r="A52" s="152"/>
      <c r="B52" s="118"/>
      <c r="C52" s="154"/>
      <c r="D52" s="116" t="s">
        <v>265</v>
      </c>
      <c r="E52" s="117">
        <v>1000</v>
      </c>
      <c r="F52" s="262"/>
      <c r="G52" s="262"/>
      <c r="H52" s="195">
        <f aca="true" t="shared" si="5" ref="H52:H57">SUM(E52+F52-G52)</f>
        <v>1000</v>
      </c>
    </row>
    <row r="53" spans="1:8" s="51" customFormat="1" ht="21.75" customHeight="1">
      <c r="A53" s="114"/>
      <c r="B53" s="110"/>
      <c r="C53" s="115"/>
      <c r="D53" s="116" t="s">
        <v>316</v>
      </c>
      <c r="E53" s="117">
        <v>1000</v>
      </c>
      <c r="F53" s="262"/>
      <c r="G53" s="262"/>
      <c r="H53" s="195">
        <f t="shared" si="5"/>
        <v>1000</v>
      </c>
    </row>
    <row r="54" spans="1:8" s="51" customFormat="1" ht="21.75" customHeight="1">
      <c r="A54" s="114"/>
      <c r="B54" s="110"/>
      <c r="C54" s="115"/>
      <c r="D54" s="116" t="s">
        <v>317</v>
      </c>
      <c r="E54" s="117">
        <v>1046</v>
      </c>
      <c r="F54" s="262"/>
      <c r="G54" s="262"/>
      <c r="H54" s="195">
        <f t="shared" si="5"/>
        <v>1046</v>
      </c>
    </row>
    <row r="55" spans="1:8" s="51" customFormat="1" ht="21.75" customHeight="1">
      <c r="A55" s="114"/>
      <c r="B55" s="110"/>
      <c r="C55" s="115"/>
      <c r="D55" s="294" t="s">
        <v>348</v>
      </c>
      <c r="E55" s="295">
        <v>4600</v>
      </c>
      <c r="F55" s="295">
        <v>12400</v>
      </c>
      <c r="G55" s="296"/>
      <c r="H55" s="295">
        <f t="shared" si="5"/>
        <v>17000</v>
      </c>
    </row>
    <row r="56" spans="1:8" s="51" customFormat="1" ht="21.75" customHeight="1">
      <c r="A56" s="114"/>
      <c r="B56" s="110"/>
      <c r="C56" s="115"/>
      <c r="D56" s="116" t="s">
        <v>318</v>
      </c>
      <c r="E56" s="117">
        <v>3500</v>
      </c>
      <c r="F56" s="262"/>
      <c r="G56" s="262"/>
      <c r="H56" s="195">
        <f t="shared" si="5"/>
        <v>3500</v>
      </c>
    </row>
    <row r="57" spans="1:8" s="51" customFormat="1" ht="21.75" customHeight="1">
      <c r="A57" s="231"/>
      <c r="B57" s="110"/>
      <c r="C57" s="232"/>
      <c r="D57" s="116" t="s">
        <v>319</v>
      </c>
      <c r="E57" s="230">
        <v>4700</v>
      </c>
      <c r="F57" s="262"/>
      <c r="G57" s="262"/>
      <c r="H57" s="195">
        <f t="shared" si="5"/>
        <v>4700</v>
      </c>
    </row>
    <row r="58" spans="1:8" s="51" customFormat="1" ht="17.25" customHeight="1">
      <c r="A58" s="285"/>
      <c r="B58" s="285"/>
      <c r="C58" s="285"/>
      <c r="D58" s="286" t="s">
        <v>84</v>
      </c>
      <c r="E58" s="287">
        <f>SUM(E42,E28,E22,E15,E8,E35)</f>
        <v>18797439</v>
      </c>
      <c r="F58" s="287">
        <f>SUM(F42,F28,F22,F15,F8,F35)</f>
        <v>18557102</v>
      </c>
      <c r="G58" s="287">
        <f>SUM(G42,G28,G22,G15,G8,G35)</f>
        <v>17614000</v>
      </c>
      <c r="H58" s="287">
        <f>SUM(H42,H28,H22,H15,H8,H35)</f>
        <v>19740541</v>
      </c>
    </row>
    <row r="61" ht="12.75">
      <c r="E61" s="69"/>
    </row>
    <row r="62" ht="12.75">
      <c r="E62" s="69"/>
    </row>
    <row r="63" ht="12.75">
      <c r="E63" s="69"/>
    </row>
    <row r="64" ht="12.75">
      <c r="E64" s="69"/>
    </row>
    <row r="65" ht="12.75">
      <c r="E65" s="69"/>
    </row>
    <row r="66" ht="12.75">
      <c r="E66" s="69"/>
    </row>
    <row r="67" ht="12.75">
      <c r="E67" s="69"/>
    </row>
    <row r="68" ht="12.75">
      <c r="E68" s="69"/>
    </row>
    <row r="69" ht="12.75">
      <c r="E69" s="69"/>
    </row>
    <row r="70" ht="12.75">
      <c r="E70" s="69"/>
    </row>
    <row r="71" ht="12.75">
      <c r="E71" s="69"/>
    </row>
    <row r="72" ht="12.75">
      <c r="E72" s="69"/>
    </row>
    <row r="73" ht="12.75">
      <c r="E73" s="69"/>
    </row>
    <row r="74" ht="12.75">
      <c r="E74" s="92"/>
    </row>
    <row r="75" ht="12.75">
      <c r="E75" s="69"/>
    </row>
    <row r="76" ht="12.75">
      <c r="E76" s="69"/>
    </row>
    <row r="77" ht="12.75">
      <c r="E77" s="69"/>
    </row>
    <row r="78" ht="12.75">
      <c r="E78" s="69"/>
    </row>
    <row r="79" ht="12.75">
      <c r="E79" s="69"/>
    </row>
    <row r="80" ht="12.75">
      <c r="E80" s="69"/>
    </row>
    <row r="81" ht="12.75">
      <c r="E81" s="69"/>
    </row>
  </sheetData>
  <mergeCells count="1">
    <mergeCell ref="A5:D5"/>
  </mergeCells>
  <printOptions horizontalCentered="1"/>
  <pageMargins left="0.9055118110236221" right="0.7874015748031497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&amp;C&amp;8Wydatki majątkowe - str.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1" sqref="A1:F29"/>
    </sheetView>
  </sheetViews>
  <sheetFormatPr defaultColWidth="9.00390625" defaultRowHeight="12.75"/>
  <cols>
    <col min="1" max="1" width="6.75390625" style="10" customWidth="1"/>
    <col min="2" max="2" width="7.25390625" style="10" bestFit="1" customWidth="1"/>
    <col min="3" max="3" width="5.00390625" style="10" customWidth="1"/>
    <col min="4" max="4" width="32.25390625" style="10" customWidth="1"/>
    <col min="5" max="5" width="17.125" style="10" customWidth="1"/>
  </cols>
  <sheetData>
    <row r="1" ht="12.75">
      <c r="E1" s="130" t="s">
        <v>301</v>
      </c>
    </row>
    <row r="2" ht="12.75">
      <c r="E2" s="130" t="s">
        <v>352</v>
      </c>
    </row>
    <row r="3" ht="12.75">
      <c r="E3" s="130" t="s">
        <v>208</v>
      </c>
    </row>
    <row r="4" ht="12.75">
      <c r="E4" s="130" t="s">
        <v>353</v>
      </c>
    </row>
    <row r="5" ht="12.75">
      <c r="E5" s="156"/>
    </row>
    <row r="6" spans="1:5" ht="30" customHeight="1">
      <c r="A6" s="329" t="s">
        <v>299</v>
      </c>
      <c r="B6" s="329"/>
      <c r="C6" s="329"/>
      <c r="D6" s="329"/>
      <c r="E6" s="329"/>
    </row>
    <row r="7" spans="1:5" ht="27" customHeight="1">
      <c r="A7" s="328" t="s">
        <v>281</v>
      </c>
      <c r="B7" s="328"/>
      <c r="C7" s="328"/>
      <c r="D7" s="328"/>
      <c r="E7" s="328"/>
    </row>
    <row r="8" spans="1:5" ht="24.75" customHeight="1">
      <c r="A8" s="26" t="s">
        <v>0</v>
      </c>
      <c r="B8" s="26" t="s">
        <v>1</v>
      </c>
      <c r="C8" s="26" t="s">
        <v>2</v>
      </c>
      <c r="D8" s="26" t="s">
        <v>3</v>
      </c>
      <c r="E8" s="34" t="s">
        <v>171</v>
      </c>
    </row>
    <row r="9" spans="1:5" s="8" customFormat="1" ht="27.75" customHeight="1">
      <c r="A9" s="83" t="s">
        <v>152</v>
      </c>
      <c r="B9" s="7"/>
      <c r="C9" s="6"/>
      <c r="D9" s="43" t="s">
        <v>76</v>
      </c>
      <c r="E9" s="35">
        <f>SUM(E10)</f>
        <v>148000</v>
      </c>
    </row>
    <row r="10" spans="1:5" s="8" customFormat="1" ht="24">
      <c r="A10" s="3"/>
      <c r="B10" s="21">
        <v>90011</v>
      </c>
      <c r="C10" s="4"/>
      <c r="D10" s="20" t="s">
        <v>188</v>
      </c>
      <c r="E10" s="36">
        <f>SUM(E11:E12)</f>
        <v>148000</v>
      </c>
    </row>
    <row r="11" spans="1:5" ht="21.75" customHeight="1">
      <c r="A11" s="52"/>
      <c r="B11" s="53"/>
      <c r="C11" s="50"/>
      <c r="D11" s="116" t="s">
        <v>189</v>
      </c>
      <c r="E11" s="117">
        <v>32000</v>
      </c>
    </row>
    <row r="12" spans="1:5" s="10" customFormat="1" ht="21.75" customHeight="1">
      <c r="A12" s="3"/>
      <c r="B12" s="21"/>
      <c r="C12" s="18" t="s">
        <v>264</v>
      </c>
      <c r="D12" s="20" t="s">
        <v>190</v>
      </c>
      <c r="E12" s="36">
        <v>116000</v>
      </c>
    </row>
    <row r="13" spans="1:5" ht="22.5" customHeight="1">
      <c r="A13" s="54"/>
      <c r="B13" s="39"/>
      <c r="C13" s="39"/>
      <c r="D13" s="26" t="s">
        <v>84</v>
      </c>
      <c r="E13" s="35">
        <f>SUM(E9)</f>
        <v>148000</v>
      </c>
    </row>
    <row r="14" ht="12.75" customHeight="1"/>
    <row r="15" spans="1:5" ht="39.75" customHeight="1">
      <c r="A15" s="328" t="s">
        <v>282</v>
      </c>
      <c r="B15" s="328"/>
      <c r="C15" s="328"/>
      <c r="D15" s="328"/>
      <c r="E15" s="328"/>
    </row>
    <row r="16" spans="1:5" ht="24.75" customHeight="1">
      <c r="A16" s="26" t="s">
        <v>0</v>
      </c>
      <c r="B16" s="26" t="s">
        <v>1</v>
      </c>
      <c r="C16" s="26" t="s">
        <v>2</v>
      </c>
      <c r="D16" s="26" t="s">
        <v>3</v>
      </c>
      <c r="E16" s="34" t="s">
        <v>171</v>
      </c>
    </row>
    <row r="17" spans="1:5" s="8" customFormat="1" ht="21.75" customHeight="1">
      <c r="A17" s="83" t="s">
        <v>152</v>
      </c>
      <c r="B17" s="7"/>
      <c r="C17" s="6"/>
      <c r="D17" s="43" t="s">
        <v>76</v>
      </c>
      <c r="E17" s="35">
        <f>SUM(E18)</f>
        <v>147500</v>
      </c>
    </row>
    <row r="18" spans="1:5" s="8" customFormat="1" ht="21.75" customHeight="1">
      <c r="A18" s="3"/>
      <c r="B18" s="21">
        <v>90011</v>
      </c>
      <c r="C18" s="4"/>
      <c r="D18" s="20" t="s">
        <v>188</v>
      </c>
      <c r="E18" s="36">
        <f>SUM(E19,E22,)</f>
        <v>147500</v>
      </c>
    </row>
    <row r="19" spans="1:5" s="10" customFormat="1" ht="21.75" customHeight="1">
      <c r="A19" s="3"/>
      <c r="B19" s="21"/>
      <c r="C19" s="4">
        <v>4210</v>
      </c>
      <c r="D19" s="20" t="s">
        <v>90</v>
      </c>
      <c r="E19" s="36">
        <f>SUM(E20:E21)</f>
        <v>4500</v>
      </c>
    </row>
    <row r="20" spans="1:5" ht="21.75" customHeight="1">
      <c r="A20" s="52"/>
      <c r="B20" s="53"/>
      <c r="C20" s="100"/>
      <c r="D20" s="116" t="s">
        <v>191</v>
      </c>
      <c r="E20" s="117">
        <v>1500</v>
      </c>
    </row>
    <row r="21" spans="1:5" ht="21.75" customHeight="1">
      <c r="A21" s="52"/>
      <c r="B21" s="53"/>
      <c r="C21" s="100"/>
      <c r="D21" s="116" t="s">
        <v>193</v>
      </c>
      <c r="E21" s="117">
        <v>3000</v>
      </c>
    </row>
    <row r="22" spans="1:5" s="10" customFormat="1" ht="21.75" customHeight="1">
      <c r="A22" s="3"/>
      <c r="B22" s="21"/>
      <c r="C22" s="18">
        <v>4300</v>
      </c>
      <c r="D22" s="20" t="s">
        <v>97</v>
      </c>
      <c r="E22" s="36">
        <f>SUM(E23:E27)</f>
        <v>143000</v>
      </c>
    </row>
    <row r="23" spans="1:5" ht="21.75" customHeight="1">
      <c r="A23" s="52"/>
      <c r="B23" s="53"/>
      <c r="C23" s="100"/>
      <c r="D23" s="116" t="s">
        <v>192</v>
      </c>
      <c r="E23" s="117">
        <v>110000</v>
      </c>
    </row>
    <row r="24" spans="1:5" ht="21.75" customHeight="1">
      <c r="A24" s="52"/>
      <c r="B24" s="53"/>
      <c r="C24" s="100"/>
      <c r="D24" s="116" t="s">
        <v>335</v>
      </c>
      <c r="E24" s="117">
        <v>10000</v>
      </c>
    </row>
    <row r="25" spans="1:5" ht="21.75" customHeight="1">
      <c r="A25" s="52"/>
      <c r="B25" s="53"/>
      <c r="C25" s="100"/>
      <c r="D25" s="116" t="s">
        <v>194</v>
      </c>
      <c r="E25" s="117">
        <v>5000</v>
      </c>
    </row>
    <row r="26" spans="1:5" ht="21.75" customHeight="1">
      <c r="A26" s="52"/>
      <c r="B26" s="50"/>
      <c r="C26" s="50"/>
      <c r="D26" s="116" t="s">
        <v>324</v>
      </c>
      <c r="E26" s="117">
        <v>12000</v>
      </c>
    </row>
    <row r="27" spans="1:5" ht="19.5" customHeight="1">
      <c r="A27" s="52"/>
      <c r="B27" s="50"/>
      <c r="C27" s="50"/>
      <c r="D27" s="116" t="s">
        <v>323</v>
      </c>
      <c r="E27" s="117">
        <v>6000</v>
      </c>
    </row>
    <row r="28" spans="1:5" ht="21.75" customHeight="1">
      <c r="A28" s="54"/>
      <c r="B28" s="39"/>
      <c r="C28" s="39"/>
      <c r="D28" s="26" t="s">
        <v>84</v>
      </c>
      <c r="E28" s="35">
        <f>SUM(E18)</f>
        <v>147500</v>
      </c>
    </row>
    <row r="29" spans="1:5" ht="21.75" customHeight="1">
      <c r="A29" s="55"/>
      <c r="B29" s="56"/>
      <c r="C29" s="56"/>
      <c r="D29" s="22" t="s">
        <v>262</v>
      </c>
      <c r="E29" s="35">
        <f>SUM(E13-E28)</f>
        <v>500</v>
      </c>
    </row>
  </sheetData>
  <mergeCells count="3">
    <mergeCell ref="A15:E15"/>
    <mergeCell ref="A7:E7"/>
    <mergeCell ref="A6:E6"/>
  </mergeCells>
  <printOptions horizontalCentered="1"/>
  <pageMargins left="0.984251968503937" right="0.7874015748031497" top="0.7874015748031497" bottom="0.7874015748031497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40">
      <selection activeCell="J28" sqref="J1:L16384"/>
    </sheetView>
  </sheetViews>
  <sheetFormatPr defaultColWidth="9.00390625" defaultRowHeight="12.75"/>
  <cols>
    <col min="1" max="1" width="5.125" style="10" customWidth="1"/>
    <col min="2" max="2" width="7.25390625" style="10" customWidth="1"/>
    <col min="3" max="3" width="5.00390625" style="10" customWidth="1"/>
    <col min="4" max="4" width="35.125" style="10" customWidth="1"/>
    <col min="5" max="5" width="11.375" style="10" hidden="1" customWidth="1"/>
    <col min="6" max="6" width="6.875" style="0" hidden="1" customWidth="1"/>
    <col min="7" max="7" width="10.875" style="0" hidden="1" customWidth="1"/>
    <col min="8" max="8" width="17.00390625" style="0" customWidth="1"/>
    <col min="9" max="9" width="7.25390625" style="0" customWidth="1"/>
  </cols>
  <sheetData>
    <row r="1" spans="5:9" ht="12.75">
      <c r="E1" s="130"/>
      <c r="F1" s="130" t="s">
        <v>303</v>
      </c>
      <c r="G1" s="130"/>
      <c r="H1" s="130" t="s">
        <v>303</v>
      </c>
      <c r="I1" s="130"/>
    </row>
    <row r="2" spans="5:9" ht="12.75">
      <c r="E2" s="130"/>
      <c r="F2" s="130" t="s">
        <v>222</v>
      </c>
      <c r="G2" s="130"/>
      <c r="H2" s="130" t="s">
        <v>352</v>
      </c>
      <c r="I2" s="130"/>
    </row>
    <row r="3" spans="5:9" ht="12.75">
      <c r="E3" s="130"/>
      <c r="F3" s="130" t="s">
        <v>208</v>
      </c>
      <c r="G3" s="130"/>
      <c r="H3" s="130" t="s">
        <v>208</v>
      </c>
      <c r="I3" s="130"/>
    </row>
    <row r="4" spans="5:9" ht="12.75">
      <c r="E4" s="130"/>
      <c r="F4" s="130" t="s">
        <v>289</v>
      </c>
      <c r="G4" s="130"/>
      <c r="H4" s="130" t="s">
        <v>353</v>
      </c>
      <c r="I4" s="130"/>
    </row>
    <row r="5" spans="1:5" ht="80.25" customHeight="1">
      <c r="A5" s="330" t="s">
        <v>302</v>
      </c>
      <c r="B5" s="330"/>
      <c r="C5" s="330"/>
      <c r="D5" s="330"/>
      <c r="E5" s="330"/>
    </row>
    <row r="6" spans="1:5" ht="41.25" customHeight="1">
      <c r="A6" s="330" t="s">
        <v>203</v>
      </c>
      <c r="B6" s="330"/>
      <c r="C6" s="330"/>
      <c r="D6" s="330"/>
      <c r="E6" s="330"/>
    </row>
    <row r="7" spans="1:9" s="198" customFormat="1" ht="24.75" customHeight="1">
      <c r="A7" s="182" t="s">
        <v>0</v>
      </c>
      <c r="B7" s="182" t="s">
        <v>1</v>
      </c>
      <c r="C7" s="182" t="s">
        <v>2</v>
      </c>
      <c r="D7" s="182" t="s">
        <v>3</v>
      </c>
      <c r="E7" s="182" t="s">
        <v>171</v>
      </c>
      <c r="F7" s="266" t="s">
        <v>337</v>
      </c>
      <c r="G7" s="266" t="s">
        <v>338</v>
      </c>
      <c r="H7" s="182" t="s">
        <v>171</v>
      </c>
      <c r="I7" s="289"/>
    </row>
    <row r="8" spans="1:9" s="66" customFormat="1" ht="36">
      <c r="A8" s="2">
        <v>756</v>
      </c>
      <c r="B8" s="2"/>
      <c r="C8" s="2"/>
      <c r="D8" s="102" t="s">
        <v>35</v>
      </c>
      <c r="E8" s="82">
        <f>SUM(E9)</f>
        <v>280000</v>
      </c>
      <c r="F8" s="82">
        <f aca="true" t="shared" si="0" ref="F8:H9">SUM(F9)</f>
        <v>0</v>
      </c>
      <c r="G8" s="82">
        <f t="shared" si="0"/>
        <v>0</v>
      </c>
      <c r="H8" s="82">
        <f t="shared" si="0"/>
        <v>280000</v>
      </c>
      <c r="I8" s="47"/>
    </row>
    <row r="9" spans="1:9" s="1" customFormat="1" ht="33.75">
      <c r="A9" s="11"/>
      <c r="B9" s="4">
        <v>75618</v>
      </c>
      <c r="C9" s="11"/>
      <c r="D9" s="103" t="s">
        <v>206</v>
      </c>
      <c r="E9" s="16">
        <f>SUM(E10)</f>
        <v>280000</v>
      </c>
      <c r="F9" s="16">
        <f t="shared" si="0"/>
        <v>0</v>
      </c>
      <c r="G9" s="16">
        <f t="shared" si="0"/>
        <v>0</v>
      </c>
      <c r="H9" s="16">
        <f t="shared" si="0"/>
        <v>280000</v>
      </c>
      <c r="I9" s="48"/>
    </row>
    <row r="10" spans="1:9" s="67" customFormat="1" ht="22.5">
      <c r="A10" s="11"/>
      <c r="B10" s="11"/>
      <c r="C10" s="9" t="s">
        <v>254</v>
      </c>
      <c r="D10" s="103" t="s">
        <v>69</v>
      </c>
      <c r="E10" s="16">
        <v>280000</v>
      </c>
      <c r="F10" s="267"/>
      <c r="G10" s="267"/>
      <c r="H10" s="16">
        <f>SUM(E10+F10-G10)</f>
        <v>280000</v>
      </c>
      <c r="I10" s="48"/>
    </row>
    <row r="11" spans="1:9" s="1" customFormat="1" ht="18.75" customHeight="1">
      <c r="A11" s="101"/>
      <c r="B11" s="101"/>
      <c r="C11" s="101"/>
      <c r="D11" s="2" t="s">
        <v>84</v>
      </c>
      <c r="E11" s="82">
        <f>SUM(E8)</f>
        <v>280000</v>
      </c>
      <c r="F11" s="82">
        <f>SUM(F8)</f>
        <v>0</v>
      </c>
      <c r="G11" s="82">
        <f>SUM(G8)</f>
        <v>0</v>
      </c>
      <c r="H11" s="82">
        <f>SUM(H8)</f>
        <v>280000</v>
      </c>
      <c r="I11" s="47"/>
    </row>
    <row r="12" spans="1:5" ht="46.5" customHeight="1">
      <c r="A12" s="331" t="s">
        <v>286</v>
      </c>
      <c r="B12" s="331"/>
      <c r="C12" s="331"/>
      <c r="D12" s="331"/>
      <c r="E12" s="331"/>
    </row>
    <row r="13" spans="1:5" ht="7.5" customHeight="1">
      <c r="A13" s="42"/>
      <c r="B13" s="42"/>
      <c r="C13" s="42"/>
      <c r="D13" s="42"/>
      <c r="E13" s="42"/>
    </row>
    <row r="14" spans="1:9" s="10" customFormat="1" ht="23.25" customHeight="1">
      <c r="A14" s="2" t="s">
        <v>0</v>
      </c>
      <c r="B14" s="2" t="s">
        <v>1</v>
      </c>
      <c r="C14" s="2" t="s">
        <v>2</v>
      </c>
      <c r="D14" s="2" t="s">
        <v>3</v>
      </c>
      <c r="E14" s="182" t="s">
        <v>171</v>
      </c>
      <c r="F14" s="266" t="s">
        <v>337</v>
      </c>
      <c r="G14" s="266" t="s">
        <v>338</v>
      </c>
      <c r="H14" s="182" t="s">
        <v>171</v>
      </c>
      <c r="I14" s="289"/>
    </row>
    <row r="15" spans="1:9" s="10" customFormat="1" ht="21.75" customHeight="1">
      <c r="A15" s="83" t="s">
        <v>142</v>
      </c>
      <c r="B15" s="6"/>
      <c r="C15" s="6"/>
      <c r="D15" s="43" t="s">
        <v>67</v>
      </c>
      <c r="E15" s="35">
        <f>SUM(E16,E18)</f>
        <v>121466</v>
      </c>
      <c r="F15" s="35">
        <f>SUM(F16,F18)</f>
        <v>6906</v>
      </c>
      <c r="G15" s="35">
        <f>SUM(G16,G18)</f>
        <v>500</v>
      </c>
      <c r="H15" s="35">
        <f>SUM(H16,H18)</f>
        <v>127872</v>
      </c>
      <c r="I15" s="306"/>
    </row>
    <row r="16" spans="1:9" s="10" customFormat="1" ht="21.75" customHeight="1">
      <c r="A16" s="153"/>
      <c r="B16" s="118">
        <v>85111</v>
      </c>
      <c r="C16" s="118"/>
      <c r="D16" s="28" t="s">
        <v>275</v>
      </c>
      <c r="E16" s="168">
        <f>SUM(E17:E17)</f>
        <v>10000</v>
      </c>
      <c r="F16" s="168">
        <f>SUM(F17:F17)</f>
        <v>0</v>
      </c>
      <c r="G16" s="168">
        <f>SUM(G17:G17)</f>
        <v>0</v>
      </c>
      <c r="H16" s="168">
        <f>SUM(H17:H17)</f>
        <v>10000</v>
      </c>
      <c r="I16" s="307"/>
    </row>
    <row r="17" spans="1:9" s="10" customFormat="1" ht="45">
      <c r="A17" s="147"/>
      <c r="B17" s="169"/>
      <c r="C17" s="118">
        <v>6300</v>
      </c>
      <c r="D17" s="28" t="s">
        <v>279</v>
      </c>
      <c r="E17" s="168">
        <v>10000</v>
      </c>
      <c r="F17" s="268"/>
      <c r="G17" s="268"/>
      <c r="H17" s="41">
        <f>SUM(E17+F17-G17)</f>
        <v>10000</v>
      </c>
      <c r="I17" s="308"/>
    </row>
    <row r="18" spans="1:9" s="10" customFormat="1" ht="21.75" customHeight="1">
      <c r="A18" s="153"/>
      <c r="B18" s="153" t="s">
        <v>143</v>
      </c>
      <c r="C18" s="118"/>
      <c r="D18" s="28" t="s">
        <v>68</v>
      </c>
      <c r="E18" s="168">
        <f>SUM(E19:E22)</f>
        <v>111466</v>
      </c>
      <c r="F18" s="168">
        <f>SUM(F19:F22)</f>
        <v>6906</v>
      </c>
      <c r="G18" s="168">
        <f>SUM(G19:G22)</f>
        <v>500</v>
      </c>
      <c r="H18" s="168">
        <f>SUM(H19:H22)</f>
        <v>117872</v>
      </c>
      <c r="I18" s="307"/>
    </row>
    <row r="19" spans="1:9" s="10" customFormat="1" ht="21.75" customHeight="1">
      <c r="A19" s="153"/>
      <c r="B19" s="118"/>
      <c r="C19" s="118">
        <v>3030</v>
      </c>
      <c r="D19" s="28" t="s">
        <v>107</v>
      </c>
      <c r="E19" s="168">
        <v>16500</v>
      </c>
      <c r="F19" s="262"/>
      <c r="G19" s="175">
        <v>500</v>
      </c>
      <c r="H19" s="175">
        <f aca="true" t="shared" si="1" ref="H19:H42">SUM(E19+F19-G19)</f>
        <v>16000</v>
      </c>
      <c r="I19" s="271"/>
    </row>
    <row r="20" spans="1:9" s="10" customFormat="1" ht="20.25" customHeight="1">
      <c r="A20" s="153"/>
      <c r="B20" s="118"/>
      <c r="C20" s="118">
        <v>4210</v>
      </c>
      <c r="D20" s="28" t="s">
        <v>110</v>
      </c>
      <c r="E20" s="168">
        <v>5000</v>
      </c>
      <c r="F20" s="262"/>
      <c r="G20" s="262"/>
      <c r="H20" s="175">
        <f t="shared" si="1"/>
        <v>5000</v>
      </c>
      <c r="I20" s="271"/>
    </row>
    <row r="21" spans="1:9" s="10" customFormat="1" ht="21.75" customHeight="1">
      <c r="A21" s="153"/>
      <c r="B21" s="118"/>
      <c r="C21" s="118">
        <v>4300</v>
      </c>
      <c r="D21" s="28" t="s">
        <v>97</v>
      </c>
      <c r="E21" s="168">
        <f>12566+12000+4000+31400</f>
        <v>59966</v>
      </c>
      <c r="F21" s="175">
        <f>4606+1440+860</f>
        <v>6906</v>
      </c>
      <c r="G21" s="262"/>
      <c r="H21" s="175">
        <f t="shared" si="1"/>
        <v>66872</v>
      </c>
      <c r="I21" s="271"/>
    </row>
    <row r="22" spans="1:9" s="10" customFormat="1" ht="22.5">
      <c r="A22" s="153"/>
      <c r="B22" s="118"/>
      <c r="C22" s="118">
        <v>6060</v>
      </c>
      <c r="D22" s="91" t="s">
        <v>115</v>
      </c>
      <c r="E22" s="168">
        <v>30000</v>
      </c>
      <c r="F22" s="262"/>
      <c r="G22" s="262"/>
      <c r="H22" s="175">
        <f t="shared" si="1"/>
        <v>30000</v>
      </c>
      <c r="I22" s="271"/>
    </row>
    <row r="23" spans="1:9" s="10" customFormat="1" ht="21.75" customHeight="1">
      <c r="A23" s="83">
        <v>852</v>
      </c>
      <c r="B23" s="6"/>
      <c r="C23" s="6"/>
      <c r="D23" s="43" t="s">
        <v>278</v>
      </c>
      <c r="E23" s="35">
        <f>SUM(E24,E26)</f>
        <v>109534</v>
      </c>
      <c r="F23" s="35">
        <f>SUM(F24,F26)</f>
        <v>371</v>
      </c>
      <c r="G23" s="35">
        <f>SUM(G24,G26)</f>
        <v>6777</v>
      </c>
      <c r="H23" s="35">
        <f>SUM(H24,H26)</f>
        <v>103128</v>
      </c>
      <c r="I23" s="306"/>
    </row>
    <row r="24" spans="1:9" s="10" customFormat="1" ht="22.5">
      <c r="A24" s="153"/>
      <c r="B24" s="153">
        <v>85214</v>
      </c>
      <c r="C24" s="118"/>
      <c r="D24" s="28" t="s">
        <v>195</v>
      </c>
      <c r="E24" s="168">
        <f>SUM(E25:E25)</f>
        <v>19000</v>
      </c>
      <c r="F24" s="168">
        <f>SUM(F25:F25)</f>
        <v>0</v>
      </c>
      <c r="G24" s="168">
        <f>SUM(G25:G25)</f>
        <v>0</v>
      </c>
      <c r="H24" s="168">
        <f>SUM(H25:H25)</f>
        <v>19000</v>
      </c>
      <c r="I24" s="307"/>
    </row>
    <row r="25" spans="1:9" s="10" customFormat="1" ht="21.75" customHeight="1">
      <c r="A25" s="153"/>
      <c r="B25" s="153"/>
      <c r="C25" s="118">
        <v>3110</v>
      </c>
      <c r="D25" s="28" t="s">
        <v>135</v>
      </c>
      <c r="E25" s="168">
        <f>10000+6000+3000</f>
        <v>19000</v>
      </c>
      <c r="F25" s="262"/>
      <c r="G25" s="262"/>
      <c r="H25" s="175">
        <f t="shared" si="1"/>
        <v>19000</v>
      </c>
      <c r="I25" s="271"/>
    </row>
    <row r="26" spans="1:9" s="10" customFormat="1" ht="21.75" customHeight="1">
      <c r="A26" s="153"/>
      <c r="B26" s="153">
        <v>85219</v>
      </c>
      <c r="C26" s="118"/>
      <c r="D26" s="91" t="s">
        <v>73</v>
      </c>
      <c r="E26" s="168">
        <f>SUM(E27:E35)</f>
        <v>90534</v>
      </c>
      <c r="F26" s="168">
        <f>SUM(F27:F35)</f>
        <v>371</v>
      </c>
      <c r="G26" s="168">
        <f>SUM(G27:G35)</f>
        <v>6777</v>
      </c>
      <c r="H26" s="168">
        <f>SUM(H27:H35)</f>
        <v>84128</v>
      </c>
      <c r="I26" s="307"/>
    </row>
    <row r="27" spans="1:9" s="10" customFormat="1" ht="21.75" customHeight="1">
      <c r="A27" s="153"/>
      <c r="B27" s="153"/>
      <c r="C27" s="169">
        <v>4010</v>
      </c>
      <c r="D27" s="91" t="s">
        <v>102</v>
      </c>
      <c r="E27" s="168">
        <v>21284</v>
      </c>
      <c r="F27" s="175"/>
      <c r="G27" s="175">
        <v>5640</v>
      </c>
      <c r="H27" s="175">
        <f t="shared" si="1"/>
        <v>15644</v>
      </c>
      <c r="I27" s="271"/>
    </row>
    <row r="28" spans="1:11" s="10" customFormat="1" ht="21.75" customHeight="1">
      <c r="A28" s="153"/>
      <c r="B28" s="153"/>
      <c r="C28" s="169">
        <v>4040</v>
      </c>
      <c r="D28" s="91" t="s">
        <v>103</v>
      </c>
      <c r="E28" s="168">
        <v>1220</v>
      </c>
      <c r="F28" s="175">
        <v>11</v>
      </c>
      <c r="G28" s="223"/>
      <c r="H28" s="175">
        <f t="shared" si="1"/>
        <v>1231</v>
      </c>
      <c r="I28" s="271"/>
      <c r="J28" s="49"/>
      <c r="K28" s="311"/>
    </row>
    <row r="29" spans="1:11" s="10" customFormat="1" ht="21.75" customHeight="1">
      <c r="A29" s="153"/>
      <c r="B29" s="153"/>
      <c r="C29" s="169">
        <v>4110</v>
      </c>
      <c r="D29" s="91" t="s">
        <v>104</v>
      </c>
      <c r="E29" s="168">
        <v>3990</v>
      </c>
      <c r="F29" s="175"/>
      <c r="G29" s="175">
        <v>998</v>
      </c>
      <c r="H29" s="175">
        <f t="shared" si="1"/>
        <v>2992</v>
      </c>
      <c r="I29" s="271"/>
      <c r="J29" s="49"/>
      <c r="K29" s="49"/>
    </row>
    <row r="30" spans="1:11" s="10" customFormat="1" ht="21.75" customHeight="1">
      <c r="A30" s="153"/>
      <c r="B30" s="153"/>
      <c r="C30" s="169">
        <v>4120</v>
      </c>
      <c r="D30" s="91" t="s">
        <v>105</v>
      </c>
      <c r="E30" s="168">
        <v>552</v>
      </c>
      <c r="F30" s="175"/>
      <c r="G30" s="175">
        <v>139</v>
      </c>
      <c r="H30" s="175">
        <f t="shared" si="1"/>
        <v>413</v>
      </c>
      <c r="I30" s="271"/>
      <c r="J30" s="49"/>
      <c r="K30" s="49"/>
    </row>
    <row r="31" spans="1:11" s="10" customFormat="1" ht="21.75" customHeight="1">
      <c r="A31" s="153"/>
      <c r="B31" s="153"/>
      <c r="C31" s="169">
        <v>4170</v>
      </c>
      <c r="D31" s="91" t="s">
        <v>313</v>
      </c>
      <c r="E31" s="168">
        <v>17000</v>
      </c>
      <c r="F31" s="175"/>
      <c r="G31" s="175"/>
      <c r="H31" s="175">
        <f t="shared" si="1"/>
        <v>17000</v>
      </c>
      <c r="I31" s="271"/>
      <c r="J31" s="49"/>
      <c r="K31" s="49"/>
    </row>
    <row r="32" spans="1:11" s="10" customFormat="1" ht="21.75" customHeight="1">
      <c r="A32" s="153"/>
      <c r="B32" s="153"/>
      <c r="C32" s="169">
        <v>4210</v>
      </c>
      <c r="D32" s="28" t="s">
        <v>110</v>
      </c>
      <c r="E32" s="168">
        <v>5943</v>
      </c>
      <c r="F32" s="175"/>
      <c r="G32" s="175"/>
      <c r="H32" s="175">
        <f t="shared" si="1"/>
        <v>5943</v>
      </c>
      <c r="I32" s="271"/>
      <c r="J32" s="49"/>
      <c r="K32" s="49"/>
    </row>
    <row r="33" spans="1:11" s="10" customFormat="1" ht="21.75" customHeight="1">
      <c r="A33" s="153"/>
      <c r="B33" s="153"/>
      <c r="C33" s="169">
        <v>4300</v>
      </c>
      <c r="D33" s="28" t="s">
        <v>97</v>
      </c>
      <c r="E33" s="168">
        <f>36325+3000</f>
        <v>39325</v>
      </c>
      <c r="F33" s="175">
        <v>360</v>
      </c>
      <c r="G33" s="175"/>
      <c r="H33" s="175">
        <f t="shared" si="1"/>
        <v>39685</v>
      </c>
      <c r="I33" s="271"/>
      <c r="J33" s="49"/>
      <c r="K33" s="49"/>
    </row>
    <row r="34" spans="1:11" s="10" customFormat="1" ht="21.75" customHeight="1">
      <c r="A34" s="153"/>
      <c r="B34" s="153"/>
      <c r="C34" s="169">
        <v>4410</v>
      </c>
      <c r="D34" s="91" t="s">
        <v>108</v>
      </c>
      <c r="E34" s="168">
        <v>500</v>
      </c>
      <c r="F34" s="175"/>
      <c r="G34" s="175"/>
      <c r="H34" s="175">
        <f t="shared" si="1"/>
        <v>500</v>
      </c>
      <c r="I34" s="271"/>
      <c r="J34" s="49"/>
      <c r="K34" s="49"/>
    </row>
    <row r="35" spans="1:11" s="10" customFormat="1" ht="26.25" customHeight="1">
      <c r="A35" s="153"/>
      <c r="B35" s="153"/>
      <c r="C35" s="169">
        <v>4440</v>
      </c>
      <c r="D35" s="91" t="s">
        <v>106</v>
      </c>
      <c r="E35" s="168">
        <v>720</v>
      </c>
      <c r="F35" s="262"/>
      <c r="G35" s="262"/>
      <c r="H35" s="175">
        <f t="shared" si="1"/>
        <v>720</v>
      </c>
      <c r="I35" s="271"/>
      <c r="J35" s="49"/>
      <c r="K35" s="49"/>
    </row>
    <row r="36" spans="1:11" s="10" customFormat="1" ht="25.5" customHeight="1">
      <c r="A36" s="83" t="s">
        <v>146</v>
      </c>
      <c r="B36" s="6"/>
      <c r="C36" s="6"/>
      <c r="D36" s="43" t="s">
        <v>74</v>
      </c>
      <c r="E36" s="35">
        <f>SUM(E37)</f>
        <v>45000</v>
      </c>
      <c r="F36" s="35">
        <f>SUM(F37)</f>
        <v>0</v>
      </c>
      <c r="G36" s="35">
        <f>SUM(G37)</f>
        <v>0</v>
      </c>
      <c r="H36" s="35">
        <f>SUM(H37)</f>
        <v>45000</v>
      </c>
      <c r="I36" s="306"/>
      <c r="J36" s="311"/>
      <c r="K36" s="49"/>
    </row>
    <row r="37" spans="1:9" s="10" customFormat="1" ht="22.5">
      <c r="A37" s="153"/>
      <c r="B37" s="153" t="s">
        <v>150</v>
      </c>
      <c r="C37" s="118"/>
      <c r="D37" s="28" t="s">
        <v>151</v>
      </c>
      <c r="E37" s="168">
        <f>SUM(E38:E39)</f>
        <v>45000</v>
      </c>
      <c r="F37" s="168">
        <f>SUM(F38:F39)</f>
        <v>0</v>
      </c>
      <c r="G37" s="168">
        <f>SUM(G38:G39)</f>
        <v>0</v>
      </c>
      <c r="H37" s="309">
        <f>SUM(H38:H39)</f>
        <v>45000</v>
      </c>
      <c r="I37" s="310"/>
    </row>
    <row r="38" spans="1:9" s="10" customFormat="1" ht="24" customHeight="1">
      <c r="A38" s="153"/>
      <c r="B38" s="153"/>
      <c r="C38" s="118">
        <v>4210</v>
      </c>
      <c r="D38" s="28" t="s">
        <v>110</v>
      </c>
      <c r="E38" s="168">
        <v>11000</v>
      </c>
      <c r="F38" s="262"/>
      <c r="G38" s="262"/>
      <c r="H38" s="175">
        <f t="shared" si="1"/>
        <v>11000</v>
      </c>
      <c r="I38" s="271"/>
    </row>
    <row r="39" spans="1:9" s="10" customFormat="1" ht="21.75" customHeight="1">
      <c r="A39" s="118"/>
      <c r="B39" s="118"/>
      <c r="C39" s="118">
        <v>4300</v>
      </c>
      <c r="D39" s="28" t="s">
        <v>97</v>
      </c>
      <c r="E39" s="168">
        <v>34000</v>
      </c>
      <c r="F39" s="262"/>
      <c r="G39" s="269"/>
      <c r="H39" s="175">
        <f t="shared" si="1"/>
        <v>34000</v>
      </c>
      <c r="I39" s="271"/>
    </row>
    <row r="40" spans="1:9" s="10" customFormat="1" ht="21.75" customHeight="1">
      <c r="A40" s="83" t="s">
        <v>170</v>
      </c>
      <c r="B40" s="6"/>
      <c r="C40" s="6"/>
      <c r="D40" s="43" t="s">
        <v>82</v>
      </c>
      <c r="E40" s="35">
        <f>E41</f>
        <v>4000</v>
      </c>
      <c r="F40" s="35">
        <f>F41</f>
        <v>0</v>
      </c>
      <c r="G40" s="35">
        <f>G41</f>
        <v>0</v>
      </c>
      <c r="H40" s="35">
        <f>H41</f>
        <v>4000</v>
      </c>
      <c r="I40" s="306"/>
    </row>
    <row r="41" spans="1:9" s="10" customFormat="1" ht="19.5" customHeight="1">
      <c r="A41" s="118"/>
      <c r="B41" s="164">
        <v>92605</v>
      </c>
      <c r="C41" s="118"/>
      <c r="D41" s="28" t="s">
        <v>83</v>
      </c>
      <c r="E41" s="168">
        <f>SUM(E42:E42)</f>
        <v>4000</v>
      </c>
      <c r="F41" s="262"/>
      <c r="G41" s="262"/>
      <c r="H41" s="175">
        <f t="shared" si="1"/>
        <v>4000</v>
      </c>
      <c r="I41" s="271"/>
    </row>
    <row r="42" spans="1:9" s="10" customFormat="1" ht="21.75" customHeight="1">
      <c r="A42" s="118"/>
      <c r="B42" s="153"/>
      <c r="C42" s="118">
        <v>4300</v>
      </c>
      <c r="D42" s="28" t="s">
        <v>97</v>
      </c>
      <c r="E42" s="168">
        <v>4000</v>
      </c>
      <c r="F42" s="262"/>
      <c r="G42" s="262"/>
      <c r="H42" s="175">
        <f t="shared" si="1"/>
        <v>4000</v>
      </c>
      <c r="I42" s="271"/>
    </row>
    <row r="43" spans="1:9" s="10" customFormat="1" ht="20.25" customHeight="1">
      <c r="A43" s="227"/>
      <c r="B43" s="227"/>
      <c r="C43" s="227"/>
      <c r="D43" s="7" t="s">
        <v>84</v>
      </c>
      <c r="E43" s="35">
        <f>SUM(E15,E23,E36,E40,)</f>
        <v>280000</v>
      </c>
      <c r="F43" s="35">
        <f>SUM(F15,F23,F36,F40,)</f>
        <v>7277</v>
      </c>
      <c r="G43" s="35">
        <f>SUM(G15,G23,G36,G40,)</f>
        <v>7277</v>
      </c>
      <c r="H43" s="35">
        <f>SUM(H15,H23,H36,H40,)</f>
        <v>280000</v>
      </c>
      <c r="I43" s="306"/>
    </row>
    <row r="45" ht="12.75">
      <c r="E45" s="69"/>
    </row>
    <row r="46" ht="12.75">
      <c r="E46" s="69">
        <f>SUM(E43)</f>
        <v>280000</v>
      </c>
    </row>
    <row r="47" ht="12.75">
      <c r="E47" s="92">
        <f>SUM(E45:E46)</f>
        <v>280000</v>
      </c>
    </row>
  </sheetData>
  <mergeCells count="3">
    <mergeCell ref="A5:E5"/>
    <mergeCell ref="A6:E6"/>
    <mergeCell ref="A12:E12"/>
  </mergeCells>
  <printOptions horizontalCentered="1"/>
  <pageMargins left="0.984251968503937" right="0.7874015748031497" top="0.7874015748031497" bottom="0.7874015748031497" header="0.5118110236220472" footer="0.31496062992125984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UM w Trzciance</cp:lastModifiedBy>
  <cp:lastPrinted>2005-02-28T10:00:24Z</cp:lastPrinted>
  <dcterms:created xsi:type="dcterms:W3CDTF">2002-10-21T08:56:44Z</dcterms:created>
  <dcterms:modified xsi:type="dcterms:W3CDTF">2005-03-23T09:58:44Z</dcterms:modified>
  <cp:category/>
  <cp:version/>
  <cp:contentType/>
  <cp:contentStatus/>
</cp:coreProperties>
</file>